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21" yWindow="65461" windowWidth="16920" windowHeight="12075" activeTab="0"/>
  </bookViews>
  <sheets>
    <sheet name="П-0.8" sheetId="1" r:id="rId1"/>
  </sheets>
  <definedNames>
    <definedName name="\0">#REF!</definedName>
    <definedName name="\a">#REF!</definedName>
    <definedName name="\m">#REF!</definedName>
    <definedName name="\n">#REF!</definedName>
    <definedName name="\o">#REF!</definedName>
    <definedName name="___________C370000">#REF!</definedName>
    <definedName name="__________C370000">#REF!</definedName>
    <definedName name="_________C370000">#REF!</definedName>
    <definedName name="________C370000">#REF!</definedName>
    <definedName name="_______C370000">#REF!</definedName>
    <definedName name="_____C370000">#REF!</definedName>
    <definedName name="____C370000">#REF!</definedName>
    <definedName name="___C370000">#REF!</definedName>
    <definedName name="__C370000">#REF!</definedName>
    <definedName name="__IntlFixup" hidden="1">TRUE</definedName>
    <definedName name="__k4">[0]!__k4</definedName>
    <definedName name="_A">#REF!</definedName>
    <definedName name="_B">#REF!</definedName>
    <definedName name="_C">#REF!</definedName>
    <definedName name="_C370000">#REF!</definedName>
    <definedName name="_D">#REF!</definedName>
    <definedName name="_E">#REF!</definedName>
    <definedName name="_F">#REF!</definedName>
    <definedName name="_k4">[0]!_k4</definedName>
    <definedName name="a">[0]!a</definedName>
    <definedName name="AccessDatabase" hidden="1">"C:\My Documents\vlad\Var_2\can270398v2t05.mdb"</definedName>
    <definedName name="AFamorts">#REF!</definedName>
    <definedName name="AFamorttnr96">#REF!</definedName>
    <definedName name="AFassistech">#REF!</definedName>
    <definedName name="AFfraisfi">#REF!</definedName>
    <definedName name="AFimpoA">#REF!</definedName>
    <definedName name="AFparité">#REF!</definedName>
    <definedName name="AFtaxexport">#REF!</definedName>
    <definedName name="alumina_mt">#REF!</definedName>
    <definedName name="alumina_price">#REF!</definedName>
    <definedName name="anscount" hidden="1">1</definedName>
    <definedName name="asd">[0]!asd</definedName>
    <definedName name="b">[0]!b</definedName>
    <definedName name="Balance_Sheet">#REF!</definedName>
    <definedName name="bbbbb">[0]!USD/1.701</definedName>
    <definedName name="bbbbbb">#N/A</definedName>
    <definedName name="Beg_Bal">#REF!</definedName>
    <definedName name="bnmnm">[0]!bnmnm</definedName>
    <definedName name="Button_130">"can270398v2t05_Выпуск__реализация__запасы_Таблица"</definedName>
    <definedName name="calculations">#REF!</definedName>
    <definedName name="Capital_Purchases">#REF!</definedName>
    <definedName name="CompOt">[0]!CompOt</definedName>
    <definedName name="CompRas">[0]!CompRas</definedName>
    <definedName name="Coût_Assistance_technique_1998">[0]!NotesHyp</definedName>
    <definedName name="csDesignMode">1</definedName>
    <definedName name="curs">#REF!</definedName>
    <definedName name="D">#REF!</definedName>
    <definedName name="d_r">#REF!</definedName>
    <definedName name="da">#REF!</definedName>
    <definedName name="Data">#REF!</definedName>
    <definedName name="dddddddd">[0]!dddddddd</definedName>
    <definedName name="del">#REF!</definedName>
    <definedName name="Depreciation_Schedule">#REF!</definedName>
    <definedName name="dfg">[0]!dfg</definedName>
    <definedName name="DM">[0]!USD/1.701</definedName>
    <definedName name="DMRUR">#REF!</definedName>
    <definedName name="DTL_B_1">#N/A</definedName>
    <definedName name="DTL_C_1">#N/A</definedName>
    <definedName name="DTL_C_ASSETS_2_1">#N/A</definedName>
    <definedName name="DTL_C_ASSETS_3_1">#N/A</definedName>
    <definedName name="DTL_C_CAPITAL_4_1">#N/A</definedName>
    <definedName name="DTL_C_CAPITAL_5_1">#N/A</definedName>
    <definedName name="DTL_C_EXPENSES_1_1">#N/A</definedName>
    <definedName name="DTL_C_EXPENSES_2_1">#N/A</definedName>
    <definedName name="DTL_C_INCOME_1_1">#N/A</definedName>
    <definedName name="DTL_C_LIABILITIES_3_1">#N/A</definedName>
    <definedName name="DTL_C_LIABILITIES_4_1">#N/A</definedName>
    <definedName name="DTL_C_SUSPENSE_5_1">#N/A</definedName>
    <definedName name="DTL_C_SUSPENSE_6_1">#N/A</definedName>
    <definedName name="DTL_D_ASSETS_2_1">#N/A</definedName>
    <definedName name="DTL_D_ASSETS_3_1">#N/A</definedName>
    <definedName name="DTL_D_CAPITAL_4_1">#N/A</definedName>
    <definedName name="DTL_D_CAPITAL_5_1">#N/A</definedName>
    <definedName name="DTL_D_EXPENSES_1_1">#N/A</definedName>
    <definedName name="DTL_D_EXPENSES_2_1">#N/A</definedName>
    <definedName name="DTL_D_INCOME_1_1">#N/A</definedName>
    <definedName name="DTL_D_LIABILITIES_3_1">#N/A</definedName>
    <definedName name="DTL_D_LIABILITIES_4_1">#N/A</definedName>
    <definedName name="DTL_D_SUSPENSE_5_1">#N/A</definedName>
    <definedName name="DTL_D_SUSPENSE_6_1">#N/A</definedName>
    <definedName name="DTL_E_1">#N/A</definedName>
    <definedName name="DTL_E_ASSETS_2_1">#N/A</definedName>
    <definedName name="DTL_E_ASSETS_3_1">#N/A</definedName>
    <definedName name="DTL_E_CAPITAL_4_1">#N/A</definedName>
    <definedName name="DTL_E_CAPITAL_5_1">#N/A</definedName>
    <definedName name="DTL_E_EXPENSES_1_1">#N/A</definedName>
    <definedName name="DTL_E_EXPENSES_2_1">#N/A</definedName>
    <definedName name="DTL_E_INCOME_1_1">#N/A</definedName>
    <definedName name="DTL_E_LIABILITIES_3_1">#N/A</definedName>
    <definedName name="DTL_E_LIABILITIES_4_1">#N/A</definedName>
    <definedName name="DTL_E_SUSPENSE_5_1">#N/A</definedName>
    <definedName name="DTL_E_SUSPENSE_6_1">#N/A</definedName>
    <definedName name="DTL_F_1">#N/A</definedName>
    <definedName name="DTL_F_ASSETS_2_1">#N/A</definedName>
    <definedName name="DTL_F_ASSETS_3_1">#N/A</definedName>
    <definedName name="DTL_F_CAPITAL_4_1">#N/A</definedName>
    <definedName name="DTL_F_CAPITAL_5_1">#N/A</definedName>
    <definedName name="DTL_F_EXPENSES_1_1">#N/A</definedName>
    <definedName name="DTL_F_EXPENSES_2_1">#N/A</definedName>
    <definedName name="DTL_F_INCOME_1_1">#N/A</definedName>
    <definedName name="DTL_F_LIABILITIES_3_1">#N/A</definedName>
    <definedName name="DTL_F_LIABILITIES_4_1">#N/A</definedName>
    <definedName name="DTL_F_SUSPENSE_5_1">#N/A</definedName>
    <definedName name="DTL_F_SUSPENSE_6_1">#N/A</definedName>
    <definedName name="DTL_G_1">#N/A</definedName>
    <definedName name="DTL_G_ASSETS_2_1">#N/A</definedName>
    <definedName name="DTL_G_ASSETS_3_1">#N/A</definedName>
    <definedName name="DTL_G_CAPITAL_4_1">#N/A</definedName>
    <definedName name="DTL_G_CAPITAL_5_1">#N/A</definedName>
    <definedName name="DTL_G_EXPENSES_1_1">#N/A</definedName>
    <definedName name="DTL_G_EXPENSES_2_1">#N/A</definedName>
    <definedName name="DTL_G_INCOME_1_1">#N/A</definedName>
    <definedName name="DTL_G_LIABILITIES_3_1">#N/A</definedName>
    <definedName name="DTL_G_LIABILITIES_4_1">#N/A</definedName>
    <definedName name="DTL_G_SUSPENSE_5_1">#N/A</definedName>
    <definedName name="DTL_G_SUSPENSE_6_1">#N/A</definedName>
    <definedName name="DTL_H___1703__1_1">#N/A</definedName>
    <definedName name="DTL_H___1707__2_1">#N/A</definedName>
    <definedName name="DTL_H__1_1">#N/A</definedName>
    <definedName name="DTL_H_1">#N/A</definedName>
    <definedName name="DTL_H_ASSETS_2_1">#N/A</definedName>
    <definedName name="DTL_H_ASSETS_3_1">#N/A</definedName>
    <definedName name="DTL_H_CAPITAL_4_1">#N/A</definedName>
    <definedName name="DTL_H_CAPITAL_5_1">#N/A</definedName>
    <definedName name="DTL_H_CRN__2035___3__1_1">#N/A</definedName>
    <definedName name="DTL_H_CRN__2072___3__2_1">#N/A</definedName>
    <definedName name="DTL_H_CRN__2073___3__3_1">#N/A</definedName>
    <definedName name="DTL_H_CRN__2074___3__4_1">#N/A</definedName>
    <definedName name="DTL_H_CRN__2075___3__5_1">#N/A</definedName>
    <definedName name="DTL_H_CRN__2202___3__6_1">#N/A</definedName>
    <definedName name="DTL_H_CRN__2212___3__7_1">#N/A</definedName>
    <definedName name="DTL_H_CRN__2213___3__8_1">#N/A</definedName>
    <definedName name="DTL_H_CRN__2214___3__9_1">#N/A</definedName>
    <definedName name="DTL_H_CRN__2215___3__10_1">#N/A</definedName>
    <definedName name="DTL_H_CRN__2318___3__11_1">#N/A</definedName>
    <definedName name="DTL_H_CRN__2321___3__12_1">#N/A</definedName>
    <definedName name="DTL_H_CRN__2323___3__13_1">#N/A</definedName>
    <definedName name="DTL_H_CRN__2356___3__14_1">#N/A</definedName>
    <definedName name="DTL_H_CRN__2370___3__15_1">#N/A</definedName>
    <definedName name="DTL_H_CRN__4377___3__16_1">#N/A</definedName>
    <definedName name="DTL_H_CRN__4378___3__17_1">#N/A</definedName>
    <definedName name="DTL_H_CRN__5521___3__18_1">#N/A</definedName>
    <definedName name="DTL_H_CRN__5522___3__19_1">#N/A</definedName>
    <definedName name="DTL_H_CRN__5523___3__20_1">#N/A</definedName>
    <definedName name="DTL_H_CRN__5524___3__21_1">#N/A</definedName>
    <definedName name="DTL_H_CRN__6020___3__22_1">#N/A</definedName>
    <definedName name="DTL_H_CRN__6055___3__23_1">#N/A</definedName>
    <definedName name="DTL_H_CRN__6063___3__24_1">#N/A</definedName>
    <definedName name="DTL_H_CRN__6478___3__25_1">#N/A</definedName>
    <definedName name="DTL_H_CRN__6505___3__26_1">#N/A</definedName>
    <definedName name="DTL_H_CRN__6507___3__27_1">#N/A</definedName>
    <definedName name="DTL_H_CRN__6543___3__28_1">#N/A</definedName>
    <definedName name="DTL_H_CRNE_1_1">#N/A</definedName>
    <definedName name="DTL_H_EXPENSES_1_1">#N/A</definedName>
    <definedName name="DTL_H_EXPENSES_2_1">#N/A</definedName>
    <definedName name="DTL_H_INCOME_1_1">#N/A</definedName>
    <definedName name="DTL_H_LIABILITIES_3_1">#N/A</definedName>
    <definedName name="DTL_H_LIABILITIES_4_1">#N/A</definedName>
    <definedName name="DTL_H_SUSPENSE_5_1">#N/A</definedName>
    <definedName name="DTL_H_SUSPENSE_6_1">#N/A</definedName>
    <definedName name="DTL_I_1">#N/A</definedName>
    <definedName name="DTL_I_ASSETS_2_1">#N/A</definedName>
    <definedName name="DTL_I_ASSETS_3_1">#N/A</definedName>
    <definedName name="DTL_I_CAPITAL_4_1">#N/A</definedName>
    <definedName name="DTL_I_CAPITAL_5_1">#N/A</definedName>
    <definedName name="DTL_I_CNC_STOCK_1_1">#N/A</definedName>
    <definedName name="DTL_I_CNI1__STOCK_1_1">#N/A</definedName>
    <definedName name="DTL_I_CNI2__STOCK_2_1">#N/A</definedName>
    <definedName name="DTL_I_CNIIV_STOCK_3_1">#N/A</definedName>
    <definedName name="DTL_I_EXPENSES_1_1">#N/A</definedName>
    <definedName name="DTL_I_EXPENSES_2_1">#N/A</definedName>
    <definedName name="DTL_I_INCOME_1_1">#N/A</definedName>
    <definedName name="DTL_I_LIABILITIES_3_1">#N/A</definedName>
    <definedName name="DTL_I_LIABILITIES_4_1">#N/A</definedName>
    <definedName name="DTL_I_SUSPENSE_5_1">#N/A</definedName>
    <definedName name="DTL_I_SUSPENSE_6_1">#N/A</definedName>
    <definedName name="DTL_J_1">#N/A</definedName>
    <definedName name="DTL_J_ASSETS_2_1">#N/A</definedName>
    <definedName name="DTL_J_ASSETS_3_1">#N/A</definedName>
    <definedName name="DTL_J_CAPITAL_4_1">#N/A</definedName>
    <definedName name="DTL_J_CAPITAL_5_1">#N/A</definedName>
    <definedName name="DTL_J_EXPENSES_1_1">#N/A</definedName>
    <definedName name="DTL_J_EXPENSES_2_1">#N/A</definedName>
    <definedName name="DTL_J_INCOME_1_1">#N/A</definedName>
    <definedName name="DTL_J_LIABILITIES_3_1">#N/A</definedName>
    <definedName name="DTL_J_LIABILITIES_4_1">#N/A</definedName>
    <definedName name="DTL_J_SUSPENSE_5_1">#N/A</definedName>
    <definedName name="DTL_J_SUSPENSE_6_1">#N/A</definedName>
    <definedName name="DTL_K_ASSETS_2_1">#N/A</definedName>
    <definedName name="DTL_K_ASSETS_3_1">#N/A</definedName>
    <definedName name="DTL_K_CAPITAL_4_1">#N/A</definedName>
    <definedName name="DTL_K_CAPITAL_5_1">#N/A</definedName>
    <definedName name="DTL_K_EXPENSES_1_1">#N/A</definedName>
    <definedName name="DTL_K_EXPENSES_2_1">#N/A</definedName>
    <definedName name="DTL_K_INCOME_1_1">#N/A</definedName>
    <definedName name="DTL_K_LIABILITIES_3_1">#N/A</definedName>
    <definedName name="DTL_K_LIABILITIES_4_1">#N/A</definedName>
    <definedName name="DTL_K_SUSPENSE_5_1">#N/A</definedName>
    <definedName name="DTL_K_SUSPENSE_6_1">#N/A</definedName>
    <definedName name="DTL_L_ASSETS_2_1">#N/A</definedName>
    <definedName name="DTL_L_ASSETS_3_1">#N/A</definedName>
    <definedName name="DTL_L_CAPITAL_4_1">#N/A</definedName>
    <definedName name="DTL_L_CAPITAL_5_1">#N/A</definedName>
    <definedName name="DTL_L_EXPENSES_1_1">#N/A</definedName>
    <definedName name="DTL_L_EXPENSES_2_1">#N/A</definedName>
    <definedName name="DTL_L_INCOME_1_1">#N/A</definedName>
    <definedName name="DTL_L_LIABILITIES_3_1">#N/A</definedName>
    <definedName name="DTL_L_LIABILITIES_4_1">#N/A</definedName>
    <definedName name="DTL_L_SUSPENSE_5_1">#N/A</definedName>
    <definedName name="DTL_L_SUSPENSE_6_1">#N/A</definedName>
    <definedName name="DTL_M_ASSETS_2_1">#N/A</definedName>
    <definedName name="DTL_M_ASSETS_3_1">#N/A</definedName>
    <definedName name="DTL_M_CAPITAL_4_1">#N/A</definedName>
    <definedName name="DTL_M_CAPITAL_5_1">#N/A</definedName>
    <definedName name="DTL_M_EXPENSES_1_1">#N/A</definedName>
    <definedName name="DTL_M_EXPENSES_2_1">#N/A</definedName>
    <definedName name="DTL_M_INCOME_1_1">#N/A</definedName>
    <definedName name="DTL_M_LIABILITIES_3_1">#N/A</definedName>
    <definedName name="DTL_M_LIABILITIES_4_1">#N/A</definedName>
    <definedName name="DTL_M_SUSPENSE_5_1">#N/A</definedName>
    <definedName name="DTL_M_SUSPENSE_6_1">#N/A</definedName>
    <definedName name="DTL_N_ASSETS_2_1">#N/A</definedName>
    <definedName name="DTL_N_ASSETS_3_1">#N/A</definedName>
    <definedName name="DTL_N_CAPITAL_4_1">#N/A</definedName>
    <definedName name="DTL_N_CAPITAL_5_1">#N/A</definedName>
    <definedName name="DTL_N_CNC_STOCK_1_1">#N/A</definedName>
    <definedName name="DTL_N_CNI1__STOCK_1_1">#N/A</definedName>
    <definedName name="DTL_N_CNI2__STOCK_2_1">#N/A</definedName>
    <definedName name="DTL_N_CNIIV_STOCK_3_1">#N/A</definedName>
    <definedName name="DTL_N_EXPENSES_1_1">#N/A</definedName>
    <definedName name="DTL_N_EXPENSES_2_1">#N/A</definedName>
    <definedName name="DTL_N_INCOME_1_1">#N/A</definedName>
    <definedName name="DTL_N_LIABILITIES_3_1">#N/A</definedName>
    <definedName name="DTL_N_LIABILITIES_4_1">#N/A</definedName>
    <definedName name="DTL_N_SUSPENSE_5_1">#N/A</definedName>
    <definedName name="DTL_N_SUSPENSE_6_1">#N/A</definedName>
    <definedName name="DTL_O_CNC_STOCK_1_1">#N/A</definedName>
    <definedName name="DTL_O_CNI1__STOCK_1_1">#N/A</definedName>
    <definedName name="DTL_O_CNI2__STOCK_2_1">#N/A</definedName>
    <definedName name="DTL_O_CNIIV_STOCK_3_1">#N/A</definedName>
    <definedName name="DTL_P_CNC_STOCK_1_1">#N/A</definedName>
    <definedName name="DTL_P_CNI1__STOCK_1_1">#N/A</definedName>
    <definedName name="DTL_P_CNI2__STOCK_2_1">#N/A</definedName>
    <definedName name="DTL_P_CNIIV_STOCK_3_1">#N/A</definedName>
    <definedName name="DTL_R_CNC_STOCK_1_1">#N/A</definedName>
    <definedName name="DTL_R_CNI1__STOCK_1_1">#N/A</definedName>
    <definedName name="DTL_R_CNI2__STOCK_2_1">#N/A</definedName>
    <definedName name="DTL_R_CNIIV_STOCK_3_1">#N/A</definedName>
    <definedName name="DTL_S_CNC_STOCK_1_1">#N/A</definedName>
    <definedName name="DTL_S_CNI1__STOCK_1_1">#N/A</definedName>
    <definedName name="DTL_S_CNI2__STOCK_2_1">#N/A</definedName>
    <definedName name="DTL_S_CNIIV_STOCK_3_1">#N/A</definedName>
    <definedName name="DTL_SumIf___1703__1_1">#N/A</definedName>
    <definedName name="DTL_SumIf___1707__2_1">#N/A</definedName>
    <definedName name="DTL_SumIf__1_1">#N/A</definedName>
    <definedName name="DTL_SumIf_ASSETS_2_1">#N/A</definedName>
    <definedName name="DTL_SumIf_ASSETS_3_1">#N/A</definedName>
    <definedName name="DTL_SumIf_CAPITAL_4_1">#N/A</definedName>
    <definedName name="DTL_SumIf_CAPITAL_5_1">#N/A</definedName>
    <definedName name="DTL_SumIf_CNC_STOCK_1_1">#N/A</definedName>
    <definedName name="DTL_SumIf_CNI1__STOCK_1_1">#N/A</definedName>
    <definedName name="DTL_SumIf_CNI2__STOCK_2_1">#N/A</definedName>
    <definedName name="DTL_SumIf_CNIIV_STOCK_3_1">#N/A</definedName>
    <definedName name="DTL_SumIf_CRN__2035___3__1_1">#N/A</definedName>
    <definedName name="DTL_SumIf_CRN__2072___3__2_1">#N/A</definedName>
    <definedName name="DTL_SumIf_CRN__2073___3__3_1">#N/A</definedName>
    <definedName name="DTL_SumIf_CRN__2074___3__4_1">#N/A</definedName>
    <definedName name="DTL_SumIf_CRN__2075___3__5_1">#N/A</definedName>
    <definedName name="DTL_SumIf_CRN__2202___3__6_1">#N/A</definedName>
    <definedName name="DTL_SumIf_CRN__2212___3__7_1">#N/A</definedName>
    <definedName name="DTL_SumIf_CRN__2213___3__8_1">#N/A</definedName>
    <definedName name="DTL_SumIf_CRN__2214___3__9_1">#N/A</definedName>
    <definedName name="DTL_SumIf_CRN__2215___3__10_1">#N/A</definedName>
    <definedName name="DTL_SumIf_CRN__2318___3__11_1">#N/A</definedName>
    <definedName name="DTL_SumIf_CRN__2321___3__12_1">#N/A</definedName>
    <definedName name="DTL_SumIf_CRN__2323___3__13_1">#N/A</definedName>
    <definedName name="DTL_SumIf_CRN__2356___3__14_1">#N/A</definedName>
    <definedName name="DTL_SumIf_CRN__2370___3__15_1">#N/A</definedName>
    <definedName name="DTL_SumIf_CRN__4377___3__16_1">#N/A</definedName>
    <definedName name="DTL_SumIf_CRN__4378___3__17_1">#N/A</definedName>
    <definedName name="DTL_SumIf_CRN__5521___3__18_1">#N/A</definedName>
    <definedName name="DTL_SumIf_CRN__5522___3__19_1">#N/A</definedName>
    <definedName name="DTL_SumIf_CRN__5523___3__20_1">#N/A</definedName>
    <definedName name="DTL_SumIf_CRN__5524___3__21_1">#N/A</definedName>
    <definedName name="DTL_SumIf_CRN__6020___3__22_1">#N/A</definedName>
    <definedName name="DTL_SumIf_CRN__6055___3__23_1">#N/A</definedName>
    <definedName name="DTL_SumIf_CRN__6063___3__24_1">#N/A</definedName>
    <definedName name="DTL_SumIf_CRN__6478___3__25_1">#N/A</definedName>
    <definedName name="DTL_SumIf_CRN__6505___3__26_1">#N/A</definedName>
    <definedName name="DTL_SumIf_CRN__6507___3__27_1">#N/A</definedName>
    <definedName name="DTL_SumIf_CRN__6543___3__28_1">#N/A</definedName>
    <definedName name="DTL_SumIf_EXPENSES_1_1">#N/A</definedName>
    <definedName name="DTL_SumIf_EXPENSES_2_1">#N/A</definedName>
    <definedName name="DTL_SumIf_INCOME_1_1">#N/A</definedName>
    <definedName name="DTL_SumIf_LIABILITIES_3_1">#N/A</definedName>
    <definedName name="DTL_SumIf_LIABILITIES_4_1">#N/A</definedName>
    <definedName name="DTL_SumIf_SUSPENSE_5_1">#N/A</definedName>
    <definedName name="DTL_SumIf_SUSPENSE_6_1">#N/A</definedName>
    <definedName name="DTL_T_CNC_STOCK_1_1">#N/A</definedName>
    <definedName name="DTL_T_CNI1__STOCK_1_1">#N/A</definedName>
    <definedName name="DTL_T_CNI2__STOCK_2_1">#N/A</definedName>
    <definedName name="DTL_T_CNIIV_STOCK_3_1">#N/A</definedName>
    <definedName name="ee">#REF!</definedName>
    <definedName name="End_Bal">#REF!</definedName>
    <definedName name="ew">[0]!ew</definedName>
    <definedName name="Expas">#REF!</definedName>
    <definedName name="export_year">#REF!</definedName>
    <definedName name="Extra_Pay">#REF!</definedName>
    <definedName name="fffffffff">[0]!fffffffff</definedName>
    <definedName name="fffffffff1">[0]!fffffffff1</definedName>
    <definedName name="fg">[0]!fg</definedName>
    <definedName name="Financing_Activities">#REF!</definedName>
    <definedName name="Form_211">#REF!</definedName>
    <definedName name="Form_214_40">#REF!</definedName>
    <definedName name="Form_214_41">#REF!</definedName>
    <definedName name="Form_215">#REF!</definedName>
    <definedName name="Form_626_p">#REF!</definedName>
    <definedName name="Format_info">#REF!</definedName>
    <definedName name="Fuel">#REF!</definedName>
    <definedName name="FuelP97">#REF!</definedName>
    <definedName name="Full_Print">#REF!</definedName>
    <definedName name="G">[0]!USD/1.701</definedName>
    <definedName name="gg">#REF!</definedName>
    <definedName name="gggg">[0]!gggg</definedName>
    <definedName name="GoAssetChart">[0]!GoAssetChart</definedName>
    <definedName name="GoBack">[0]!GoBack</definedName>
    <definedName name="GoBalanceSheet">[0]!GoBalanceSheet</definedName>
    <definedName name="GoCashFlow">[0]!GoCashFlow</definedName>
    <definedName name="GoData">[0]!GoData</definedName>
    <definedName name="GoIncomeChart">[0]!GoIncomeChart</definedName>
    <definedName name="GoIncomeChart1">[0]!GoIncomeChart1</definedName>
    <definedName name="HEADER_BOTTOM">6</definedName>
    <definedName name="HEADER_BOTTOM_1">#N/A</definedName>
    <definedName name="Header_Row">ROW(#REF!)</definedName>
    <definedName name="hh">[0]!USD/1.701</definedName>
    <definedName name="hhhh">[0]!hhhh</definedName>
    <definedName name="iii">kk/1.81</definedName>
    <definedName name="iiii">kk/1.81</definedName>
    <definedName name="Income_Statement_1">#REF!</definedName>
    <definedName name="Income_Statement_2">#REF!</definedName>
    <definedName name="Income_Statement_3">#REF!</definedName>
    <definedName name="Int">#REF!</definedName>
    <definedName name="Interest_Rate">#REF!</definedName>
    <definedName name="jjjjjj">[0]!jjjjjj</definedName>
    <definedName name="k">[0]!k</definedName>
    <definedName name="kk">[0]!kk</definedName>
    <definedName name="kurs">#REF!</definedName>
    <definedName name="Last_Row">IF(Values_Entered,Header_Row+Number_of_Payments,Header_Row)</definedName>
    <definedName name="libir6m">#REF!</definedName>
    <definedName name="limcount" hidden="1">1</definedName>
    <definedName name="LME">#REF!</definedName>
    <definedName name="Loan_Amount">#REF!</definedName>
    <definedName name="Loan_Start">#REF!</definedName>
    <definedName name="Loan_Years">#REF!</definedName>
    <definedName name="mamamia">#REF!</definedName>
    <definedName name="mm">[0]!mm</definedName>
    <definedName name="nn">kk/1.81</definedName>
    <definedName name="nnnn">kk/1.81</definedName>
    <definedName name="Num_Pmt_Per_Year">#REF!</definedName>
    <definedName name="Number_of_Payments">MATCH(0.01,End_Bal,-1)+1</definedName>
    <definedName name="output_year">#REF!</definedName>
    <definedName name="PapExpas">#REF!</definedName>
    <definedName name="Pay_Date">#REF!</definedName>
    <definedName name="Pay_Num">#REF!</definedName>
    <definedName name="Payment_Date">DATE(YEAR(Loan_Start),MONTH(Loan_Start)+Payment_Number,DAY(Loan_Start))</definedName>
    <definedName name="Pbud601">#REF!</definedName>
    <definedName name="Pbud655">#REF!</definedName>
    <definedName name="Pbud98">#REF!</definedName>
    <definedName name="Pcharg96">#REF!</definedName>
    <definedName name="Pcotisations">#REF!</definedName>
    <definedName name="PdgeccMO">#REF!</definedName>
    <definedName name="PeffecBud">#REF!</definedName>
    <definedName name="Peffectif">#REF!</definedName>
    <definedName name="PeffectifA">#REF!</definedName>
    <definedName name="Pfamo">#REF!</definedName>
    <definedName name="PFAMO612642">#REF!</definedName>
    <definedName name="Pgratif956">#REF!</definedName>
    <definedName name="Phsup">#REF!</definedName>
    <definedName name="Phsup98">#REF!</definedName>
    <definedName name="Phypoaugmentation">#REF!</definedName>
    <definedName name="Pmainoeuvre">#REF!</definedName>
    <definedName name="popamia">#REF!</definedName>
    <definedName name="pp">#REF!</definedName>
    <definedName name="Princ">#REF!</definedName>
    <definedName name="Print_Area_Reset">OFFSET(Full_Print,0,0,Last_Row)</definedName>
    <definedName name="promd_Запрос_с_16_по_19">#REF!</definedName>
    <definedName name="qasec">[0]!qasec</definedName>
    <definedName name="qaz">[0]!qaz</definedName>
    <definedName name="qq">[0]!USD/1.701</definedName>
    <definedName name="qqq">[0]!qqq</definedName>
    <definedName name="qqqq">[0]!qqqq</definedName>
    <definedName name="QryRowStr_End_1.5">#N/A</definedName>
    <definedName name="QryRowStr_Start_1.5">#N/A</definedName>
    <definedName name="QryRowStrCount">2</definedName>
    <definedName name="qwecn">[0]!qwecn</definedName>
    <definedName name="qwer">[0]!qwer</definedName>
    <definedName name="qwertyt">[0]!qwertyt</definedName>
    <definedName name="qwertyu">[0]!qwertyu</definedName>
    <definedName name="qwertyui">[0]!qwertyui</definedName>
    <definedName name="qwsde">[0]!qwsde</definedName>
    <definedName name="qwxxd">[0]!qwxxd</definedName>
    <definedName name="R_r">#REF!</definedName>
    <definedName name="Receipts_and_Disbursements">#REF!</definedName>
    <definedName name="Rent_and_Taxes">#REF!</definedName>
    <definedName name="Resnatur">#REF!</definedName>
    <definedName name="Resnatur2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laries_Paid_1">#REF!</definedName>
    <definedName name="Salaries_Paid_2">#REF!</definedName>
    <definedName name="sansnom">[0]!NotesHyp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d">[0]!sd</definedName>
    <definedName name="sencount" hidden="1">1</definedName>
    <definedName name="SH1_1">#N/A</definedName>
    <definedName name="SH2_1">#N/A</definedName>
    <definedName name="SH3_1">#N/A</definedName>
    <definedName name="SH4_1">#N/A</definedName>
    <definedName name="SH5_1">#N/A</definedName>
    <definedName name="SH6_1">#N/A</definedName>
    <definedName name="shit">[0]!shit</definedName>
    <definedName name="Soude">#REF!</definedName>
    <definedName name="SoudeP97">#REF!</definedName>
    <definedName name="Staffing_Plan_1">#REF!</definedName>
    <definedName name="Staffing_Plan_2">#REF!</definedName>
    <definedName name="Statement_of_Cash_Flows">#REF!</definedName>
    <definedName name="SUM_B">#N/A</definedName>
    <definedName name="SUM_C">#N/A</definedName>
    <definedName name="SUM_C_1">#N/A</definedName>
    <definedName name="SUM_C_ASSETS_1">#N/A</definedName>
    <definedName name="SUM_C_CAPITAL_1">#N/A</definedName>
    <definedName name="SUM_C_EXPENSES_1">#N/A</definedName>
    <definedName name="SUM_C_INCOME_1">#N/A</definedName>
    <definedName name="SUM_C_LIABILITIES_1">#N/A</definedName>
    <definedName name="SUM_C_SUSPENSE_1">#N/A</definedName>
    <definedName name="SUM_D_1">#N/A</definedName>
    <definedName name="SUM_D_ASSETS_1">#N/A</definedName>
    <definedName name="SUM_D_CAPITAL_1">#N/A</definedName>
    <definedName name="SUM_D_EXPENSES_1">#N/A</definedName>
    <definedName name="SUM_D_INCOME_1">#N/A</definedName>
    <definedName name="SUM_D_LIABILITIES_1">#N/A</definedName>
    <definedName name="SUM_D_SUSPENSE_1">#N/A</definedName>
    <definedName name="SUM_E">#N/A</definedName>
    <definedName name="SUM_E_1">#N/A</definedName>
    <definedName name="SUM_E_ASSETS_1">#N/A</definedName>
    <definedName name="SUM_E_CAPITAL_1">#N/A</definedName>
    <definedName name="SUM_E_EXPENSES_1">#N/A</definedName>
    <definedName name="SUM_E_INCOME_1">#N/A</definedName>
    <definedName name="SUM_E_LIABILITIES_1">#N/A</definedName>
    <definedName name="SUM_E_SUSPENSE_1">#N/A</definedName>
    <definedName name="SUM_F">#N/A</definedName>
    <definedName name="SUM_F_1">#N/A</definedName>
    <definedName name="SUM_F_ASSETS_1">#N/A</definedName>
    <definedName name="SUM_F_CAPITAL_1">#N/A</definedName>
    <definedName name="SUM_F_EXPENSES_1">#N/A</definedName>
    <definedName name="SUM_F_INCOME_1">#N/A</definedName>
    <definedName name="SUM_F_LIABILITIES_1">#N/A</definedName>
    <definedName name="SUM_F_SUSPENSE_1">#N/A</definedName>
    <definedName name="SUM_G">#N/A</definedName>
    <definedName name="SUM_G_1">#N/A</definedName>
    <definedName name="SUM_G_ASSETS_1">#N/A</definedName>
    <definedName name="SUM_G_CAPITAL_1">#N/A</definedName>
    <definedName name="SUM_G_EXPENSES_1">#N/A</definedName>
    <definedName name="SUM_G_INCOME_1">#N/A</definedName>
    <definedName name="SUM_G_LIABILITIES_1">#N/A</definedName>
    <definedName name="SUM_G_SUSPENSE_1">#N/A</definedName>
    <definedName name="SUM_H">#N/A</definedName>
    <definedName name="SUM_H___1703__1">#N/A</definedName>
    <definedName name="SUM_H___1707__1">#N/A</definedName>
    <definedName name="SUM_H__1">#N/A</definedName>
    <definedName name="SUM_H_1">#N/A</definedName>
    <definedName name="SUM_H_ASSETS_1">#N/A</definedName>
    <definedName name="SUM_H_CAPITAL_1">#N/A</definedName>
    <definedName name="SUM_H_CRN__2035___3__1">#N/A</definedName>
    <definedName name="SUM_H_CRN__2035__1">#N/A</definedName>
    <definedName name="SUM_H_CRN__2072___3__1">#N/A</definedName>
    <definedName name="SUM_H_CRN__2072__1">#N/A</definedName>
    <definedName name="SUM_H_CRN__2073___3__1">#N/A</definedName>
    <definedName name="SUM_H_CRN__2073__1">#N/A</definedName>
    <definedName name="SUM_H_CRN__2074___3__1">#N/A</definedName>
    <definedName name="SUM_H_CRN__2074__1">#N/A</definedName>
    <definedName name="SUM_H_CRN__2075___3__1">#N/A</definedName>
    <definedName name="SUM_H_CRN__2075__1">#N/A</definedName>
    <definedName name="SUM_H_CRN__2202___3__1">#N/A</definedName>
    <definedName name="SUM_H_CRN__2202__1">#N/A</definedName>
    <definedName name="SUM_H_CRN__2212___3__1">#N/A</definedName>
    <definedName name="SUM_H_CRN__2212__1">#N/A</definedName>
    <definedName name="SUM_H_CRN__2213___3__1">#N/A</definedName>
    <definedName name="SUM_H_CRN__2213__1">#N/A</definedName>
    <definedName name="SUM_H_CRN__2214___3__1">#N/A</definedName>
    <definedName name="SUM_H_CRN__2214__1">#N/A</definedName>
    <definedName name="SUM_H_CRN__2215___3__1">#N/A</definedName>
    <definedName name="SUM_H_CRN__2215__1">#N/A</definedName>
    <definedName name="SUM_H_CRN__2318___3__1">#N/A</definedName>
    <definedName name="SUM_H_CRN__2318__1">#N/A</definedName>
    <definedName name="SUM_H_CRN__2321___3__1">#N/A</definedName>
    <definedName name="SUM_H_CRN__2321__1">#N/A</definedName>
    <definedName name="SUM_H_CRN__2323___3__1">#N/A</definedName>
    <definedName name="SUM_H_CRN__2323__1">#N/A</definedName>
    <definedName name="SUM_H_CRN__2356___3__1">#N/A</definedName>
    <definedName name="SUM_H_CRN__2356__1">#N/A</definedName>
    <definedName name="SUM_H_CRN__2370___3__1">#N/A</definedName>
    <definedName name="SUM_H_CRN__2370__1">#N/A</definedName>
    <definedName name="SUM_H_CRN__4377___3__1">#N/A</definedName>
    <definedName name="SUM_H_CRN__4377__1">#N/A</definedName>
    <definedName name="SUM_H_CRN__4378___3__1">#N/A</definedName>
    <definedName name="SUM_H_CRN__4378__1">#N/A</definedName>
    <definedName name="SUM_H_CRN__5521___3__1">#N/A</definedName>
    <definedName name="SUM_H_CRN__5521__1">#N/A</definedName>
    <definedName name="SUM_H_CRN__5522___3__1">#N/A</definedName>
    <definedName name="SUM_H_CRN__5522__1">#N/A</definedName>
    <definedName name="SUM_H_CRN__5523___3__1">#N/A</definedName>
    <definedName name="SUM_H_CRN__5523__1">#N/A</definedName>
    <definedName name="SUM_H_CRN__5524___3__1">#N/A</definedName>
    <definedName name="SUM_H_CRN__5524__1">#N/A</definedName>
    <definedName name="SUM_H_CRN__6020___3__1">#N/A</definedName>
    <definedName name="SUM_H_CRN__6020__1">#N/A</definedName>
    <definedName name="SUM_H_CRN__6055___3__1">#N/A</definedName>
    <definedName name="SUM_H_CRN__6055__1">#N/A</definedName>
    <definedName name="SUM_H_CRN__6063___3__1">#N/A</definedName>
    <definedName name="SUM_H_CRN__6063__1">#N/A</definedName>
    <definedName name="SUM_H_CRN__6478___3__1">#N/A</definedName>
    <definedName name="SUM_H_CRN__6478__1">#N/A</definedName>
    <definedName name="SUM_H_CRN__6505___3__1">#N/A</definedName>
    <definedName name="SUM_H_CRN__6505__1">#N/A</definedName>
    <definedName name="SUM_H_CRN__6507___3__1">#N/A</definedName>
    <definedName name="SUM_H_CRN__6507__1">#N/A</definedName>
    <definedName name="SUM_H_CRN__6543___3__1">#N/A</definedName>
    <definedName name="SUM_H_CRN__6543__1">#N/A</definedName>
    <definedName name="SUM_H_CRN_1">#N/A</definedName>
    <definedName name="SUM_H_EXPENSES_1">#N/A</definedName>
    <definedName name="SUM_H_INCOME_1">#N/A</definedName>
    <definedName name="SUM_H_LIABILITIES_1">#N/A</definedName>
    <definedName name="SUM_H_SUSPENSE_1">#N/A</definedName>
    <definedName name="SUM_I">#N/A</definedName>
    <definedName name="SUM_I_1">#N/A</definedName>
    <definedName name="SUM_I_ASSETS_1">#N/A</definedName>
    <definedName name="SUM_I_CAPITAL_1">#N/A</definedName>
    <definedName name="SUM_I_CNC_1">#N/A</definedName>
    <definedName name="SUM_I_CNC_STOCK_1">#N/A</definedName>
    <definedName name="SUM_I_CNI1__1">#N/A</definedName>
    <definedName name="SUM_I_CNI1__STOCK_1">#N/A</definedName>
    <definedName name="SUM_I_CNI2__1">#N/A</definedName>
    <definedName name="SUM_I_CNI2__STOCK_1">#N/A</definedName>
    <definedName name="SUM_I_CNIIV_1">#N/A</definedName>
    <definedName name="SUM_I_CNIIV_STOCK_1">#N/A</definedName>
    <definedName name="SUM_I_EXPENSES_1">#N/A</definedName>
    <definedName name="SUM_I_INCOME_1">#N/A</definedName>
    <definedName name="SUM_I_LIABILITIES_1">#N/A</definedName>
    <definedName name="SUM_I_SUSPENSE_1">#N/A</definedName>
    <definedName name="SUM_J">#N/A</definedName>
    <definedName name="SUM_J_1">#N/A</definedName>
    <definedName name="SUM_J_ASSETS_1">#N/A</definedName>
    <definedName name="SUM_J_CAPITAL_1">#N/A</definedName>
    <definedName name="SUM_J_EXPENSES_1">#N/A</definedName>
    <definedName name="SUM_J_INCOME_1">#N/A</definedName>
    <definedName name="SUM_J_LIABILITIES_1">#N/A</definedName>
    <definedName name="SUM_J_SUSPENSE_1">#N/A</definedName>
    <definedName name="SUM_K_1">#N/A</definedName>
    <definedName name="SUM_K_ASSETS_1">#N/A</definedName>
    <definedName name="SUM_K_CAPITAL_1">#N/A</definedName>
    <definedName name="SUM_K_EXPENSES_1">#N/A</definedName>
    <definedName name="SUM_K_INCOME_1">#N/A</definedName>
    <definedName name="SUM_K_LIABILITIES_1">#N/A</definedName>
    <definedName name="SUM_K_SUSPENSE_1">#N/A</definedName>
    <definedName name="SUM_L_1">#N/A</definedName>
    <definedName name="SUM_L_ASSETS_1">#N/A</definedName>
    <definedName name="SUM_L_CAPITAL_1">#N/A</definedName>
    <definedName name="SUM_L_EXPENSES_1">#N/A</definedName>
    <definedName name="SUM_L_INCOME_1">#N/A</definedName>
    <definedName name="SUM_L_LIABILITIES_1">#N/A</definedName>
    <definedName name="SUM_L_SUSPENSE_1">#N/A</definedName>
    <definedName name="SUM_M_1">#N/A</definedName>
    <definedName name="SUM_M_ASSETS_1">#N/A</definedName>
    <definedName name="SUM_M_CAPITAL_1">#N/A</definedName>
    <definedName name="SUM_M_EXPENSES_1">#N/A</definedName>
    <definedName name="SUM_M_INCOME_1">#N/A</definedName>
    <definedName name="SUM_M_LIABILITIES_1">#N/A</definedName>
    <definedName name="SUM_M_SUSPENSE_1">#N/A</definedName>
    <definedName name="SUM_N_1">#N/A</definedName>
    <definedName name="SUM_N_ASSETS_1">#N/A</definedName>
    <definedName name="SUM_N_CAPITAL_1">#N/A</definedName>
    <definedName name="SUM_N_CNC_1">#N/A</definedName>
    <definedName name="SUM_N_CNC_STOCK_1">#N/A</definedName>
    <definedName name="SUM_N_CNI1__1">#N/A</definedName>
    <definedName name="SUM_N_CNI1__STOCK_1">#N/A</definedName>
    <definedName name="SUM_N_CNI2__1">#N/A</definedName>
    <definedName name="SUM_N_CNI2__STOCK_1">#N/A</definedName>
    <definedName name="SUM_N_CNIIV_1">#N/A</definedName>
    <definedName name="SUM_N_CNIIV_STOCK_1">#N/A</definedName>
    <definedName name="SUM_N_EXPENSES_1">#N/A</definedName>
    <definedName name="SUM_N_INCOME_1">#N/A</definedName>
    <definedName name="SUM_N_LIABILITIES_1">#N/A</definedName>
    <definedName name="SUM_N_SUSPENSE_1">#N/A</definedName>
    <definedName name="SUM_O_1">#N/A</definedName>
    <definedName name="SUM_O_CNC_1">#N/A</definedName>
    <definedName name="SUM_O_CNC_STOCK_1">#N/A</definedName>
    <definedName name="SUM_O_CNI1__1">#N/A</definedName>
    <definedName name="SUM_O_CNI1__STOCK_1">#N/A</definedName>
    <definedName name="SUM_O_CNI2__1">#N/A</definedName>
    <definedName name="SUM_O_CNI2__STOCK_1">#N/A</definedName>
    <definedName name="SUM_O_CNIIV_1">#N/A</definedName>
    <definedName name="SUM_O_CNIIV_STOCK_1">#N/A</definedName>
    <definedName name="SUM_P_1">#N/A</definedName>
    <definedName name="SUM_P_CNC_1">#N/A</definedName>
    <definedName name="SUM_P_CNC_STOCK_1">#N/A</definedName>
    <definedName name="SUM_P_CNI1__1">#N/A</definedName>
    <definedName name="SUM_P_CNI1__STOCK_1">#N/A</definedName>
    <definedName name="SUM_P_CNI2__1">#N/A</definedName>
    <definedName name="SUM_P_CNI2__STOCK_1">#N/A</definedName>
    <definedName name="SUM_P_CNIIV_1">#N/A</definedName>
    <definedName name="SUM_P_CNIIV_STOCK_1">#N/A</definedName>
    <definedName name="SUM_R_1">#N/A</definedName>
    <definedName name="SUM_R_CNC_1">#N/A</definedName>
    <definedName name="SUM_R_CNC_STOCK_1">#N/A</definedName>
    <definedName name="SUM_R_CNI1__1">#N/A</definedName>
    <definedName name="SUM_R_CNI1__STOCK_1">#N/A</definedName>
    <definedName name="SUM_R_CNI2__1">#N/A</definedName>
    <definedName name="SUM_R_CNI2__STOCK_1">#N/A</definedName>
    <definedName name="SUM_R_CNIIV_1">#N/A</definedName>
    <definedName name="SUM_R_CNIIV_STOCK_1">#N/A</definedName>
    <definedName name="SUM_S_1">#N/A</definedName>
    <definedName name="SUM_S_CNC_1">#N/A</definedName>
    <definedName name="SUM_S_CNC_STOCK_1">#N/A</definedName>
    <definedName name="SUM_S_CNI1__1">#N/A</definedName>
    <definedName name="SUM_S_CNI1__STOCK_1">#N/A</definedName>
    <definedName name="SUM_S_CNI2__1">#N/A</definedName>
    <definedName name="SUM_S_CNI2__STOCK_1">#N/A</definedName>
    <definedName name="SUM_S_CNIIV_1">#N/A</definedName>
    <definedName name="SUM_S_CNIIV_STOCK_1">#N/A</definedName>
    <definedName name="SUM_T_1">#N/A</definedName>
    <definedName name="SUM_T_CNC_1">#N/A</definedName>
    <definedName name="SUM_T_CNC_STOCK_1">#N/A</definedName>
    <definedName name="SUM_T_CNI1__1">#N/A</definedName>
    <definedName name="SUM_T_CNI1__STOCK_1">#N/A</definedName>
    <definedName name="SUM_T_CNI2__1">#N/A</definedName>
    <definedName name="SUM_T_CNI2__STOCK_1">#N/A</definedName>
    <definedName name="SUM_T_CNIIV_1">#N/A</definedName>
    <definedName name="SUM_T_CNIIV_STOCK_1">#N/A</definedName>
    <definedName name="t_year">#REF!</definedName>
    <definedName name="temp">#N/A</definedName>
    <definedName name="test">#N/A</definedName>
    <definedName name="test2">#N/A</definedName>
    <definedName name="Total_Interest">#REF!</definedName>
    <definedName name="Total_Pay">#REF!</definedName>
    <definedName name="Total_Payment">Scheduled_Payment+Extra_Payment</definedName>
    <definedName name="TRAILER_TOP">26</definedName>
    <definedName name="TRAILER_TOP_1">#N/A</definedName>
    <definedName name="us">#REF!</definedName>
    <definedName name="USDRUS">#REF!</definedName>
    <definedName name="uu">#REF!</definedName>
    <definedName name="Values_Entered">IF(Loan_Amount*Interest_Rate*Loan_Years*Loan_Start&gt;0,1,0)</definedName>
    <definedName name="vasea">#REF!</definedName>
    <definedName name="vbh">[0]!vbh</definedName>
    <definedName name="w">#REF!</definedName>
    <definedName name="wrn.1." hidden="1">{"konoplin - Личное представление",#N/A,TRUE,"ФинПлан_1кв";"konoplin - Личное представление",#N/A,TRUE,"ФинПлан_2кв"}</definedName>
    <definedName name="wrn.1._1" hidden="1">{"konoplin - Личное представление",#N/A,TRUE,"ФинПлан_1кв";"konoplin - Личное представление",#N/A,TRUE,"ФинПлан_2кв"}</definedName>
    <definedName name="wrn.1._2" hidden="1">{"konoplin - Личное представление",#N/A,TRUE,"ФинПлан_1кв";"konoplin - Личное представление",#N/A,TRUE,"ФинПлан_2кв"}</definedName>
    <definedName name="wrn.1._3" hidden="1">{"konoplin - Личное представление",#N/A,TRUE,"ФинПлан_1кв";"konoplin - Личное представление",#N/A,TRUE,"ФинПлан_2кв"}</definedName>
    <definedName name="wrn.1._4" hidden="1">{"konoplin - Личное представление",#N/A,TRUE,"ФинПлан_1кв";"konoplin - Личное представление",#N/A,TRUE,"ФинПлан_2кв"}</definedName>
    <definedName name="wrn.1._5" hidden="1">{"konoplin - Личное представление",#N/A,TRUE,"ФинПлан_1кв";"konoplin - Личное представление",#N/A,TRUE,"ФинПлан_2кв"}</definedName>
    <definedName name="wrn.Сравнение._.с._.отраслями." hidden="1">{#N/A,#N/A,TRUE,"Лист1";#N/A,#N/A,TRUE,"Лист2";#N/A,#N/A,TRUE,"Лист3"}</definedName>
    <definedName name="wrn.Сравнение._.с._.отраслями._1" hidden="1">{#N/A,#N/A,TRUE,"Лист1";#N/A,#N/A,TRUE,"Лист2";#N/A,#N/A,TRUE,"Лист3"}</definedName>
    <definedName name="wrn.Сравнение._.с._.отраслями._2" hidden="1">{#N/A,#N/A,TRUE,"Лист1";#N/A,#N/A,TRUE,"Лист2";#N/A,#N/A,TRUE,"Лист3"}</definedName>
    <definedName name="wrn.Сравнение._.с._.отраслями._3" hidden="1">{#N/A,#N/A,TRUE,"Лист1";#N/A,#N/A,TRUE,"Лист2";#N/A,#N/A,TRUE,"Лист3"}</definedName>
    <definedName name="wrn.Сравнение._.с._.отраслями._4" hidden="1">{#N/A,#N/A,TRUE,"Лист1";#N/A,#N/A,TRUE,"Лист2";#N/A,#N/A,TRUE,"Лист3"}</definedName>
    <definedName name="wrn.Сравнение._.с._.отраслями._5" hidden="1">{#N/A,#N/A,TRUE,"Лист1";#N/A,#N/A,TRUE,"Лист2";#N/A,#N/A,TRUE,"Лист3"}</definedName>
    <definedName name="www">[0]!www</definedName>
    <definedName name="xdgfg">[0]!xdgfg</definedName>
    <definedName name="z">#REF!</definedName>
    <definedName name="Z_30FEE15E_D26F_11D4_A6F7_00508B6A7686_.wvu.FilterData" hidden="1">#REF!</definedName>
    <definedName name="Z_30FEE15E_D26F_11D4_A6F7_00508B6A7686_.wvu.PrintArea" hidden="1">#REF!</definedName>
    <definedName name="Z_30FEE15E_D26F_11D4_A6F7_00508B6A7686_.wvu.PrintTitles" hidden="1">#REF!</definedName>
    <definedName name="Z_30FEE15E_D26F_11D4_A6F7_00508B6A7686_.wvu.Rows" hidden="1">#REF!</definedName>
    <definedName name="а">[0]!а</definedName>
    <definedName name="а1">#REF!</definedName>
    <definedName name="а30">#REF!</definedName>
    <definedName name="аа">[0]!аа</definedName>
    <definedName name="АААААААА">[0]!АААААААА</definedName>
    <definedName name="август">#REF!</definedName>
    <definedName name="АВЧ_ВН">#REF!</definedName>
    <definedName name="АВЧ_С">#REF!</definedName>
    <definedName name="АВЧ_ТОЛ">#REF!</definedName>
    <definedName name="АВЧНЗ_АЛФ">#REF!</definedName>
    <definedName name="АВЧНЗ_МЕД">#REF!</definedName>
    <definedName name="АВЧНЗ_ХЛБ">#REF!</definedName>
    <definedName name="АВЧНЗ_ЭЛ">#REF!</definedName>
    <definedName name="АЛ_АВЧ">#REF!</definedName>
    <definedName name="АЛ_АТЧ">#REF!</definedName>
    <definedName name="АЛ_Ф">#REF!</definedName>
    <definedName name="АЛ_Ф_">#REF!</definedName>
    <definedName name="АЛ_Ф_ЗФА">#REF!</definedName>
    <definedName name="АЛ_Ф_Т">#REF!</definedName>
    <definedName name="АЛЮМ_АВЧ">#REF!</definedName>
    <definedName name="АЛЮМ_АТЧ">#REF!</definedName>
    <definedName name="АН_Б">#REF!</definedName>
    <definedName name="АН_М">#REF!</definedName>
    <definedName name="АН_М_">#REF!</definedName>
    <definedName name="АН_С">#REF!</definedName>
    <definedName name="ап">[0]!ап</definedName>
    <definedName name="АПР_РУБ">#REF!</definedName>
    <definedName name="АПР_ТОН">#REF!</definedName>
    <definedName name="апрель">[0]!апрель</definedName>
    <definedName name="АТЧНЗ_АМ">#REF!</definedName>
    <definedName name="АТЧНЗ_ГЛ">#REF!</definedName>
    <definedName name="АТЧНЗ_КР">#REF!</definedName>
    <definedName name="АТЧНЗ_ЭЛ">#REF!</definedName>
    <definedName name="б">[0]!б</definedName>
    <definedName name="б1">#REF!</definedName>
    <definedName name="БАР">#REF!</definedName>
    <definedName name="БАР_">#REF!</definedName>
    <definedName name="бб">[0]!бб</definedName>
    <definedName name="ббббб">[0]!ббббб</definedName>
    <definedName name="бл">#REF!</definedName>
    <definedName name="Блок">#REF!</definedName>
    <definedName name="в">[0]!в</definedName>
    <definedName name="В_В">#REF!</definedName>
    <definedName name="В_Т">#REF!</definedName>
    <definedName name="В_Э">#REF!</definedName>
    <definedName name="в23ё">[0]!в23ё</definedName>
    <definedName name="ва">[0]!ва</definedName>
    <definedName name="ВАЛОВЫЙ">#REF!</definedName>
    <definedName name="вв">[0]!вв</definedName>
    <definedName name="вв1">[0]!вв1</definedName>
    <definedName name="ввв">[0]!ввв</definedName>
    <definedName name="ВВВВ">#REF!</definedName>
    <definedName name="ВН">#REF!</definedName>
    <definedName name="ВН_3003_ДП">#REF!</definedName>
    <definedName name="ВН_АВЧ_ВН">#REF!</definedName>
    <definedName name="ВН_АВЧ_ТОЛ">#REF!</definedName>
    <definedName name="ВН_АВЧ_ЭКС">#REF!</definedName>
    <definedName name="ВН_АТЧ_ВН">#REF!</definedName>
    <definedName name="ВН_АТЧ_ТОЛ">#REF!</definedName>
    <definedName name="ВН_АТЧ_ЭКС">#REF!</definedName>
    <definedName name="ВН_Р">#REF!</definedName>
    <definedName name="ВН_С_ВН">#REF!</definedName>
    <definedName name="ВН_С_ТОЛ">#REF!</definedName>
    <definedName name="ВН_С_ЭКС">#REF!</definedName>
    <definedName name="ВН_Т">#REF!</definedName>
    <definedName name="ВНИТ">#REF!</definedName>
    <definedName name="ВОД_ОБ">#REF!</definedName>
    <definedName name="ВОД_Т">#REF!</definedName>
    <definedName name="ВОЗ">#REF!</definedName>
    <definedName name="Волгоградэнерго">#REF!</definedName>
    <definedName name="ВСП">#REF!</definedName>
    <definedName name="ВСП1">#REF!</definedName>
    <definedName name="ВСП2">#REF!</definedName>
    <definedName name="ВСПОМОГ">#REF!</definedName>
    <definedName name="ВТОМ">#REF!</definedName>
    <definedName name="второй">#REF!</definedName>
    <definedName name="вуув" hidden="1">{#N/A,#N/A,TRUE,"Лист1";#N/A,#N/A,TRUE,"Лист2";#N/A,#N/A,TRUE,"Лист3"}</definedName>
    <definedName name="вуув_1" hidden="1">{#N/A,#N/A,TRUE,"Лист1";#N/A,#N/A,TRUE,"Лист2";#N/A,#N/A,TRUE,"Лист3"}</definedName>
    <definedName name="вуув_2" hidden="1">{#N/A,#N/A,TRUE,"Лист1";#N/A,#N/A,TRUE,"Лист2";#N/A,#N/A,TRUE,"Лист3"}</definedName>
    <definedName name="вуув_3" hidden="1">{#N/A,#N/A,TRUE,"Лист1";#N/A,#N/A,TRUE,"Лист2";#N/A,#N/A,TRUE,"Лист3"}</definedName>
    <definedName name="вуув_4" hidden="1">{#N/A,#N/A,TRUE,"Лист1";#N/A,#N/A,TRUE,"Лист2";#N/A,#N/A,TRUE,"Лист3"}</definedName>
    <definedName name="вуув_5" hidden="1">{#N/A,#N/A,TRUE,"Лист1";#N/A,#N/A,TRUE,"Лист2";#N/A,#N/A,TRUE,"Лист3"}</definedName>
    <definedName name="выв">#REF!</definedName>
    <definedName name="г">[0]!г</definedName>
    <definedName name="ГАС_Ш">#REF!</definedName>
    <definedName name="гг">#REF!</definedName>
    <definedName name="ГИД">#REF!</definedName>
    <definedName name="ГИД_ЗФА">#REF!</definedName>
    <definedName name="ГЛ">#REF!</definedName>
    <definedName name="ГЛ_">#REF!</definedName>
    <definedName name="ГЛ_Т">#REF!</definedName>
    <definedName name="ГЛ_Ш">#REF!</definedName>
    <definedName name="глинозем">[0]!USD/1.701</definedName>
    <definedName name="ГР">#REF!</definedName>
    <definedName name="грприрцфв00ав98" hidden="1">{#N/A,#N/A,TRUE,"Лист1";#N/A,#N/A,TRUE,"Лист2";#N/A,#N/A,TRUE,"Лист3"}</definedName>
    <definedName name="грприрцфв00ав98_1" hidden="1">{#N/A,#N/A,TRUE,"Лист1";#N/A,#N/A,TRUE,"Лист2";#N/A,#N/A,TRUE,"Лист3"}</definedName>
    <definedName name="грприрцфв00ав98_2" hidden="1">{#N/A,#N/A,TRUE,"Лист1";#N/A,#N/A,TRUE,"Лист2";#N/A,#N/A,TRUE,"Лист3"}</definedName>
    <definedName name="грприрцфв00ав98_3" hidden="1">{#N/A,#N/A,TRUE,"Лист1";#N/A,#N/A,TRUE,"Лист2";#N/A,#N/A,TRUE,"Лист3"}</definedName>
    <definedName name="грприрцфв00ав98_4" hidden="1">{#N/A,#N/A,TRUE,"Лист1";#N/A,#N/A,TRUE,"Лист2";#N/A,#N/A,TRUE,"Лист3"}</definedName>
    <definedName name="грприрцфв00ав98_5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рфинцкавг98Х_1" hidden="1">{#N/A,#N/A,TRUE,"Лист1";#N/A,#N/A,TRUE,"Лист2";#N/A,#N/A,TRUE,"Лист3"}</definedName>
    <definedName name="грфинцкавг98Х_2" hidden="1">{#N/A,#N/A,TRUE,"Лист1";#N/A,#N/A,TRUE,"Лист2";#N/A,#N/A,TRUE,"Лист3"}</definedName>
    <definedName name="грфинцкавг98Х_3" hidden="1">{#N/A,#N/A,TRUE,"Лист1";#N/A,#N/A,TRUE,"Лист2";#N/A,#N/A,TRUE,"Лист3"}</definedName>
    <definedName name="грфинцкавг98Х_4" hidden="1">{#N/A,#N/A,TRUE,"Лист1";#N/A,#N/A,TRUE,"Лист2";#N/A,#N/A,TRUE,"Лист3"}</definedName>
    <definedName name="грфинцкавг98Х_5" hidden="1">{#N/A,#N/A,TRUE,"Лист1";#N/A,#N/A,TRUE,"Лист2";#N/A,#N/A,TRUE,"Лист3"}</definedName>
    <definedName name="гш">[0]!гш</definedName>
    <definedName name="ДАВ_ЖИД">#REF!</definedName>
    <definedName name="ДАВ_МЕЛК">#REF!</definedName>
    <definedName name="ДАВ_СЛИТКИ">#REF!</definedName>
    <definedName name="Дав_тв">#REF!</definedName>
    <definedName name="ДАВ_ШТАН">#REF!</definedName>
    <definedName name="ДАВАЛЬЧЕСИЙ">#REF!</definedName>
    <definedName name="ДАВАЛЬЧЕСКИЙ">#REF!</definedName>
    <definedName name="дб">[0]!дб</definedName>
    <definedName name="Дв">[0]!Дв</definedName>
    <definedName name="декабрь">#REF!</definedName>
    <definedName name="ДИЗТОПЛИВО">#REF!</definedName>
    <definedName name="ДИМА">#REF!</definedName>
    <definedName name="доля_проч_ф">#REF!</definedName>
    <definedName name="доля_прочая">#REF!</definedName>
    <definedName name="доля_прочая_98_ав">#REF!</definedName>
    <definedName name="доля_прочая_ав">#REF!</definedName>
    <definedName name="доля_прочая_ф">#REF!</definedName>
    <definedName name="доля_т_ф">#REF!</definedName>
    <definedName name="доля_теп_1">#REF!</definedName>
    <definedName name="доля_теп_2">#REF!</definedName>
    <definedName name="доля_теп_3">#REF!</definedName>
    <definedName name="доля_тепло">#REF!</definedName>
    <definedName name="доля_эл_1">#REF!</definedName>
    <definedName name="доля_эл_2">#REF!</definedName>
    <definedName name="доля_эл_3">#REF!</definedName>
    <definedName name="доля_эл_ф">#REF!</definedName>
    <definedName name="доля_электра">#REF!</definedName>
    <definedName name="доля_электра_99">#REF!</definedName>
    <definedName name="е">[0]!е</definedName>
    <definedName name="ж">[0]!ж</definedName>
    <definedName name="жжжжжжж">[0]!жжжжжжж</definedName>
    <definedName name="ЖИДКИЙ">#REF!</definedName>
    <definedName name="з">[0]!з</definedName>
    <definedName name="З0">#REF!</definedName>
    <definedName name="З1">#REF!</definedName>
    <definedName name="З10">#REF!</definedName>
    <definedName name="З11">#REF!</definedName>
    <definedName name="З12">#REF!</definedName>
    <definedName name="З13">#REF!</definedName>
    <definedName name="З14">#REF!</definedName>
    <definedName name="З2">#REF!</definedName>
    <definedName name="З3">#REF!</definedName>
    <definedName name="З4">#REF!</definedName>
    <definedName name="З5">#REF!</definedName>
    <definedName name="З6">#REF!</definedName>
    <definedName name="З7">#REF!</definedName>
    <definedName name="З8">#REF!</definedName>
    <definedName name="З9">#REF!</definedName>
    <definedName name="ЗАРПЛАТА">#REF!</definedName>
    <definedName name="ззззз">#REF!</definedName>
    <definedName name="ззззззззззззззззззззз">[0]!ззззззззззззззззззззз</definedName>
    <definedName name="Зин">[0]!Зин</definedName>
    <definedName name="и">[0]!и</definedName>
    <definedName name="й">[0]!й</definedName>
    <definedName name="й1">[0]!й1</definedName>
    <definedName name="ИЗВ_М">#REF!</definedName>
    <definedName name="ИЗМНЗП_АВЧ">#REF!</definedName>
    <definedName name="ИЗМНЗП_АТЧ">#REF!</definedName>
    <definedName name="ии">#REF!</definedName>
    <definedName name="йй">[0]!йй</definedName>
    <definedName name="йй1">[0]!йй1</definedName>
    <definedName name="ййййййййййййй">[0]!ййййййййййййй</definedName>
    <definedName name="индцкавг98" hidden="1">{#N/A,#N/A,TRUE,"Лист1";#N/A,#N/A,TRUE,"Лист2";#N/A,#N/A,TRUE,"Лист3"}</definedName>
    <definedName name="индцкавг98_1" hidden="1">{#N/A,#N/A,TRUE,"Лист1";#N/A,#N/A,TRUE,"Лист2";#N/A,#N/A,TRUE,"Лист3"}</definedName>
    <definedName name="индцкавг98_2" hidden="1">{#N/A,#N/A,TRUE,"Лист1";#N/A,#N/A,TRUE,"Лист2";#N/A,#N/A,TRUE,"Лист3"}</definedName>
    <definedName name="индцкавг98_3" hidden="1">{#N/A,#N/A,TRUE,"Лист1";#N/A,#N/A,TRUE,"Лист2";#N/A,#N/A,TRUE,"Лист3"}</definedName>
    <definedName name="индцкавг98_4" hidden="1">{#N/A,#N/A,TRUE,"Лист1";#N/A,#N/A,TRUE,"Лист2";#N/A,#N/A,TRUE,"Лист3"}</definedName>
    <definedName name="индцкавг98_5" hidden="1">{#N/A,#N/A,TRUE,"Лист1";#N/A,#N/A,TRUE,"Лист2";#N/A,#N/A,TRUE,"Лист3"}</definedName>
    <definedName name="ипи">[0]!ипи</definedName>
    <definedName name="ИТВСП">#REF!</definedName>
    <definedName name="ИТСЫР">#REF!</definedName>
    <definedName name="ИТТР">#REF!</definedName>
    <definedName name="ИТЭН">#REF!</definedName>
    <definedName name="ЙЦУ">#REF!</definedName>
    <definedName name="июль">#REF!</definedName>
    <definedName name="ИЮН_РУБ">#REF!</definedName>
    <definedName name="ИЮН_ТОН">#REF!</definedName>
    <definedName name="июнь">#REF!</definedName>
    <definedName name="К">[0]!К</definedName>
    <definedName name="К_СЫР">#REF!</definedName>
    <definedName name="к1">[0]!к1</definedName>
    <definedName name="К2">[0]!К2</definedName>
    <definedName name="к3">[0]!к3</definedName>
    <definedName name="КВ1_РУБ">#REF!</definedName>
    <definedName name="КВ1_ТОН">#REF!</definedName>
    <definedName name="КВ2_РУБ">#REF!</definedName>
    <definedName name="КВ2_ТОН">#REF!</definedName>
    <definedName name="КВ3_РУБ">#REF!</definedName>
    <definedName name="КВ3_ТОН">#REF!</definedName>
    <definedName name="КВ4_РУБ">#REF!</definedName>
    <definedName name="КВ4_ТОН">#REF!</definedName>
    <definedName name="ке">[0]!ке</definedName>
    <definedName name="ке2">[0]!ке2</definedName>
    <definedName name="кеппппппппппп" hidden="1">{#N/A,#N/A,TRUE,"Лист1";#N/A,#N/A,TRUE,"Лист2";#N/A,#N/A,TRUE,"Лист3"}</definedName>
    <definedName name="кеппппппппппп_1" hidden="1">{#N/A,#N/A,TRUE,"Лист1";#N/A,#N/A,TRUE,"Лист2";#N/A,#N/A,TRUE,"Лист3"}</definedName>
    <definedName name="кеппппппппппп_2" hidden="1">{#N/A,#N/A,TRUE,"Лист1";#N/A,#N/A,TRUE,"Лист2";#N/A,#N/A,TRUE,"Лист3"}</definedName>
    <definedName name="кеппппппппппп_3" hidden="1">{#N/A,#N/A,TRUE,"Лист1";#N/A,#N/A,TRUE,"Лист2";#N/A,#N/A,TRUE,"Лист3"}</definedName>
    <definedName name="кеппппппппппп_4" hidden="1">{#N/A,#N/A,TRUE,"Лист1";#N/A,#N/A,TRUE,"Лист2";#N/A,#N/A,TRUE,"Лист3"}</definedName>
    <definedName name="кеппппппппппп_5" hidden="1">{#N/A,#N/A,TRUE,"Лист1";#N/A,#N/A,TRUE,"Лист2";#N/A,#N/A,TRUE,"Лист3"}</definedName>
    <definedName name="кл">#REF!</definedName>
    <definedName name="КОК_ПРОК">#REF!</definedName>
    <definedName name="КОРК_7">#REF!</definedName>
    <definedName name="КОРК_АВЧ">#REF!</definedName>
    <definedName name="коэф_блоки">#REF!</definedName>
    <definedName name="коэф_глин">#REF!</definedName>
    <definedName name="коэф_кокс">#REF!</definedName>
    <definedName name="коэф_пек">#REF!</definedName>
    <definedName name="коэф1">#REF!</definedName>
    <definedName name="коэф2">#REF!</definedName>
    <definedName name="коэф3">#REF!</definedName>
    <definedName name="коэф4">#REF!</definedName>
    <definedName name="КПП">#REF!</definedName>
    <definedName name="кр">#REF!</definedName>
    <definedName name="КР_">#REF!</definedName>
    <definedName name="КР_10">#REF!</definedName>
    <definedName name="КР_2ЦЕХ">#REF!</definedName>
    <definedName name="КР_7">#REF!</definedName>
    <definedName name="КР_8">#REF!</definedName>
    <definedName name="кр_до165">#REF!</definedName>
    <definedName name="КР_КРАМЗ">#REF!</definedName>
    <definedName name="КР_ОБАН">#REF!</definedName>
    <definedName name="кр_с8б">#REF!</definedName>
    <definedName name="КР_С8БМ">#REF!</definedName>
    <definedName name="КР_СУМ">#REF!</definedName>
    <definedName name="КР_Ф">#REF!</definedName>
    <definedName name="КрПроцент">#REF!</definedName>
    <definedName name="КРУПН_КРАМЗ">#REF!</definedName>
    <definedName name="кур">#REF!</definedName>
    <definedName name="Курс">#REF!</definedName>
    <definedName name="КурсУЕ">#REF!</definedName>
    <definedName name="л">[0]!л</definedName>
    <definedName name="лавплм">[0]!лавплм</definedName>
    <definedName name="лдо">DATE(YEAR([0]!Loan_Start),MONTH([0]!Loan_Start)+Payment_Number,DAY([0]!Loan_Start))</definedName>
    <definedName name="ло">[0]!ло</definedName>
    <definedName name="м">[0]!м</definedName>
    <definedName name="м.3">[0]!м.3</definedName>
    <definedName name="май">#REF!</definedName>
    <definedName name="МАЙ_РУБ">#REF!</definedName>
    <definedName name="МАЙ_ТОН">#REF!</definedName>
    <definedName name="МАР_РУБ">#REF!</definedName>
    <definedName name="МАР_ТОН">#REF!</definedName>
    <definedName name="МАРГ_ЛИГ_ДП">#REF!</definedName>
    <definedName name="март">#REF!</definedName>
    <definedName name="МЕД">#REF!</definedName>
    <definedName name="МЕД_">#REF!</definedName>
    <definedName name="МЕЛ_СУМ">#REF!</definedName>
    <definedName name="мер.3">[0]!мер.3</definedName>
    <definedName name="Мет_собс">#REF!</definedName>
    <definedName name="Мет_ЭЛЦ3">#REF!</definedName>
    <definedName name="МнНДС">#REF!</definedName>
    <definedName name="мс">[0]!мс</definedName>
    <definedName name="мым">[0]!мым</definedName>
    <definedName name="мым2">[0]!мым2</definedName>
    <definedName name="Н_2ЦЕХ_СКАЛ">#REF!</definedName>
    <definedName name="Н_АЛФ">#REF!</definedName>
    <definedName name="Н_АНБЛ">#REF!</definedName>
    <definedName name="Н_ВАЛФ">#REF!</definedName>
    <definedName name="Н_ВГР">#REF!</definedName>
    <definedName name="Н_ВКРСВ">#REF!</definedName>
    <definedName name="Н_ВМЕДЬ">#REF!</definedName>
    <definedName name="Н_ВОДОБКРУПН">#REF!</definedName>
    <definedName name="Н_ВХЛБ">#REF!</definedName>
    <definedName name="Н_ВХЛН">#REF!</definedName>
    <definedName name="Н_ГИДЗ">#REF!</definedName>
    <definedName name="Н_ГЛ_ВН">#REF!</definedName>
    <definedName name="Н_ГЛ_ТОЛ">#REF!</definedName>
    <definedName name="Н_ГЛШ">#REF!</definedName>
    <definedName name="Н_ИЗВ">#REF!</definedName>
    <definedName name="Н_К_ПРОК">#REF!</definedName>
    <definedName name="Н_К_СЫР">#REF!</definedName>
    <definedName name="Н_КАВЧ_АЛФ">#REF!</definedName>
    <definedName name="Н_КАВЧ_ГРАФ">#REF!</definedName>
    <definedName name="Н_КАВЧ_КРС">#REF!</definedName>
    <definedName name="Н_КАВЧ_МЕД">#REF!</definedName>
    <definedName name="Н_КАВЧ_ХЛБ">#REF!</definedName>
    <definedName name="Н_КАО_СКАЛ">#REF!</definedName>
    <definedName name="Н_КЕРОСИН">#REF!</definedName>
    <definedName name="Н_КОА_АБ">#REF!</definedName>
    <definedName name="Н_КОА_ГЛ">#REF!</definedName>
    <definedName name="Н_КОА_КРС">#REF!</definedName>
    <definedName name="Н_КОА_КРСМ">#REF!</definedName>
    <definedName name="Н_КОА_СКАЛ">#REF!</definedName>
    <definedName name="Н_КОА_ФК">#REF!</definedName>
    <definedName name="Н_КОРК_7">#REF!</definedName>
    <definedName name="Н_КОРК_АВЧ">#REF!</definedName>
    <definedName name="Н_КР19_СКАЛ">#REF!</definedName>
    <definedName name="Н_КРСВ">#REF!</definedName>
    <definedName name="Н_КРСМ">#REF!</definedName>
    <definedName name="Н_КСГИД">#REF!</definedName>
    <definedName name="Н_КСКАУСТ">#REF!</definedName>
    <definedName name="Н_КСПЕНА">#REF!</definedName>
    <definedName name="Н_КССОДГО">#REF!</definedName>
    <definedName name="Н_КССОДКАЛ">#REF!</definedName>
    <definedName name="Н_МАССА">#REF!</definedName>
    <definedName name="Н_ОЛЕ">#REF!</definedName>
    <definedName name="Н_ПЕК">#REF!</definedName>
    <definedName name="Н_ПУШ">#REF!</definedName>
    <definedName name="Н_ПЫЛЬ">#REF!</definedName>
    <definedName name="Н_С8БМ_ГЛ">#REF!</definedName>
    <definedName name="Н_С8БМ_КСВ">#REF!</definedName>
    <definedName name="Н_С8БМ_КСМ">#REF!</definedName>
    <definedName name="Н_С8БМ_СКАЛ">#REF!</definedName>
    <definedName name="Н_С8БМ_ФК">#REF!</definedName>
    <definedName name="Н_СЕРК">#REF!</definedName>
    <definedName name="Н_СКА">#REF!</definedName>
    <definedName name="Н_СЛ_КРСВ">#REF!</definedName>
    <definedName name="Н_СОСМАС">#REF!</definedName>
    <definedName name="Н_Т_КРСВ">#REF!</definedName>
    <definedName name="Н_Т_КРСВ3">#REF!</definedName>
    <definedName name="Н_ТИТАН">#REF!</definedName>
    <definedName name="Н_ФК">#REF!</definedName>
    <definedName name="Н_ФТК">#REF!</definedName>
    <definedName name="Н_ХЛНАТ">#REF!</definedName>
    <definedName name="Н_ШАРЫ">#REF!</definedName>
    <definedName name="Н_ЭНКРУПН">#REF!</definedName>
    <definedName name="Н_ЭНМЕЛКИЕ">#REF!</definedName>
    <definedName name="Н_ЭНСЛИТКИ">#REF!</definedName>
    <definedName name="НАЧП">#REF!</definedName>
    <definedName name="НАЧПЭО">#REF!</definedName>
    <definedName name="НВ_АВЧСЫР">#REF!</definedName>
    <definedName name="НВ_ДАВАЛ">#REF!</definedName>
    <definedName name="НВ_КРУПНЫЕ">#REF!</definedName>
    <definedName name="НВ_ПУСКАВЧ">#REF!</definedName>
    <definedName name="НВ_РЕКВИЗИТЫ">#REF!</definedName>
    <definedName name="НВ_СЛИТКИ">#REF!</definedName>
    <definedName name="НВ_СПЛАВ6063">#REF!</definedName>
    <definedName name="НВ_ЧМЖ">#REF!</definedName>
    <definedName name="НДС">#REF!</definedName>
    <definedName name="ндс1">#REF!</definedName>
    <definedName name="НЗП_АВЧ">#REF!</definedName>
    <definedName name="НЗП_АТЧ">#REF!</definedName>
    <definedName name="НЗП_АТЧВАВЧ">#REF!</definedName>
    <definedName name="НН_АВЧТОВ">#REF!</definedName>
    <definedName name="нов">[0]!нов</definedName>
    <definedName name="ноябрь">#REF!</definedName>
    <definedName name="НТ_АВЧСЫР">#REF!</definedName>
    <definedName name="НТ_ДАВАЛ">#REF!</definedName>
    <definedName name="НТ_КРУПНЫЕ">#REF!</definedName>
    <definedName name="НТ_РЕКВИЗИТЫ">#REF!</definedName>
    <definedName name="НТ_СЛИТКИ">#REF!</definedName>
    <definedName name="НТ_СПЛАВ6063">#REF!</definedName>
    <definedName name="НТ_ЧМЖ">#REF!</definedName>
    <definedName name="о">[0]!о</definedName>
    <definedName name="об_эксп">#REF!</definedName>
    <definedName name="_xlnm.Print_Area" localSheetId="0">'П-0.8'!$A$1:$DE$184</definedName>
    <definedName name="ОБЩ">#REF!</definedName>
    <definedName name="ОБЩ_Т">#REF!</definedName>
    <definedName name="ОБЩИТ">#REF!</definedName>
    <definedName name="объёмы">#REF!</definedName>
    <definedName name="октябрь">#REF!</definedName>
    <definedName name="ол">OFFSET([0]!Full_Print,0,0,Last_Row)</definedName>
    <definedName name="ОЛЕ">#REF!</definedName>
    <definedName name="он">#REF!</definedName>
    <definedName name="оо">#REF!</definedName>
    <definedName name="ор">IF([0]!Loan_Amount*[0]!Interest_Rate*[0]!Loan_Years*[0]!Loan_Start&gt;0,1,0)</definedName>
    <definedName name="ОС_АЛ_Ф">#REF!</definedName>
    <definedName name="ОС_АН_Б">#REF!</definedName>
    <definedName name="ОС_БАР">#REF!</definedName>
    <definedName name="ОС_ГИД">#REF!</definedName>
    <definedName name="ОС_ГИД_ЗФА">#REF!</definedName>
    <definedName name="ОС_ГЛ">#REF!</definedName>
    <definedName name="ОС_ГЛ_Т">#REF!</definedName>
    <definedName name="ОС_ГЛ_Ш">#REF!</definedName>
    <definedName name="ОС_ГР">#REF!</definedName>
    <definedName name="ОС_ИЗВ_М">#REF!</definedName>
    <definedName name="ОС_К_СЫР">#REF!</definedName>
    <definedName name="ОС_КОК_ПРОК">#REF!</definedName>
    <definedName name="ОС_КОРК_7">#REF!</definedName>
    <definedName name="ОС_КОРК_АВЧ">#REF!</definedName>
    <definedName name="ОС_КР">#REF!</definedName>
    <definedName name="ОС_МЕД">#REF!</definedName>
    <definedName name="ОС_ОЛЕ">#REF!</definedName>
    <definedName name="ОС_П_УГ">#REF!</definedName>
    <definedName name="ОС_П_ЦЕМ">#REF!</definedName>
    <definedName name="ОС_ПЕК">#REF!</definedName>
    <definedName name="ОС_ПОД_К">#REF!</definedName>
    <definedName name="ОС_ПУШ">#REF!</definedName>
    <definedName name="ОС_С_КАЛ">#REF!</definedName>
    <definedName name="ОС_С_КАУ">#REF!</definedName>
    <definedName name="ОС_С_ПУСК">#REF!</definedName>
    <definedName name="ОС_СЕР_К">#REF!</definedName>
    <definedName name="ОС_СК_АН">#REF!</definedName>
    <definedName name="ОС_ТИ">#REF!</definedName>
    <definedName name="ОС_ФЛ_К">#REF!</definedName>
    <definedName name="ОС_ФТ_К">#REF!</definedName>
    <definedName name="ОС_ХЛ_Н">#REF!</definedName>
    <definedName name="п">[0]!п</definedName>
    <definedName name="П_УГ">#REF!</definedName>
    <definedName name="П_ЦЕМ">#REF!</definedName>
    <definedName name="П9.11">[0]!П9.11</definedName>
    <definedName name="папа" hidden="1">{"konoplin - Личное представление",#N/A,TRUE,"ФинПлан_1кв";"konoplin - Личное представление",#N/A,TRUE,"ФинПлан_2кв"}</definedName>
    <definedName name="папа_1" hidden="1">{"konoplin - Личное представление",#N/A,TRUE,"ФинПлан_1кв";"konoplin - Личное представление",#N/A,TRUE,"ФинПлан_2кв"}</definedName>
    <definedName name="папа_2" hidden="1">{"konoplin - Личное представление",#N/A,TRUE,"ФинПлан_1кв";"konoplin - Личное представление",#N/A,TRUE,"ФинПлан_2кв"}</definedName>
    <definedName name="папа_3" hidden="1">{"konoplin - Личное представление",#N/A,TRUE,"ФинПлан_1кв";"konoplin - Личное представление",#N/A,TRUE,"ФинПлан_2кв"}</definedName>
    <definedName name="папа_4" hidden="1">{"konoplin - Личное представление",#N/A,TRUE,"ФинПлан_1кв";"konoplin - Личное представление",#N/A,TRUE,"ФинПлан_2кв"}</definedName>
    <definedName name="папа_5" hidden="1">{"konoplin - Личное представление",#N/A,TRUE,"ФинПлан_1кв";"konoplin - Личное представление",#N/A,TRUE,"ФинПлан_2кв"}</definedName>
    <definedName name="ПАР">#REF!</definedName>
    <definedName name="ПЕК">#REF!</definedName>
    <definedName name="первый">#REF!</definedName>
    <definedName name="Период">#REF!</definedName>
    <definedName name="план">#REF!</definedName>
    <definedName name="план1">#REF!</definedName>
    <definedName name="ПОД_К">#REF!</definedName>
    <definedName name="ПОД_КО">#REF!</definedName>
    <definedName name="полезный_т_ф">#REF!</definedName>
    <definedName name="полезный_тепло">#REF!</definedName>
    <definedName name="полезный_эл_ф">#REF!</definedName>
    <definedName name="полезный_электро">#REF!</definedName>
    <definedName name="ПОЛН">#REF!</definedName>
    <definedName name="ппп">[0]!ппп</definedName>
    <definedName name="процент_т_ф">#REF!</definedName>
    <definedName name="Процент_тепло">#REF!</definedName>
    <definedName name="Процент_эл_ф">#REF!</definedName>
    <definedName name="Процент_электра">#REF!</definedName>
    <definedName name="прочая_доля_99">#REF!</definedName>
    <definedName name="прочая_процент">#REF!</definedName>
    <definedName name="прочая_процент_98_ав">#REF!</definedName>
    <definedName name="прочая_процент_99">#REF!</definedName>
    <definedName name="прочая_процент_ав">#REF!</definedName>
    <definedName name="прочая_процент_ф">#REF!</definedName>
    <definedName name="прочая_процент_ф_ав">#REF!</definedName>
    <definedName name="прпр">MATCH(0.01,[0]!End_Bal,-1)+1</definedName>
    <definedName name="ПУИ">[0]!ПУИ</definedName>
    <definedName name="ПУСК_АВЧ">#REF!</definedName>
    <definedName name="ПУСК_ОБАН">#REF!</definedName>
    <definedName name="ПУСК_С8БМ">#REF!</definedName>
    <definedName name="ПУСКОВЫЕ">#REF!</definedName>
    <definedName name="ПУШ">#REF!</definedName>
    <definedName name="р">[0]!р</definedName>
    <definedName name="работы">#REF!</definedName>
    <definedName name="расшифровка">#REF!</definedName>
    <definedName name="ремонты2">[0]!ремонты2</definedName>
    <definedName name="рис1" hidden="1">{#N/A,#N/A,TRUE,"Лист1";#N/A,#N/A,TRUE,"Лист2";#N/A,#N/A,TRUE,"Лист3"}</definedName>
    <definedName name="рис1_1" hidden="1">{#N/A,#N/A,TRUE,"Лист1";#N/A,#N/A,TRUE,"Лист2";#N/A,#N/A,TRUE,"Лист3"}</definedName>
    <definedName name="рис1_2" hidden="1">{#N/A,#N/A,TRUE,"Лист1";#N/A,#N/A,TRUE,"Лист2";#N/A,#N/A,TRUE,"Лист3"}</definedName>
    <definedName name="рис1_3" hidden="1">{#N/A,#N/A,TRUE,"Лист1";#N/A,#N/A,TRUE,"Лист2";#N/A,#N/A,TRUE,"Лист3"}</definedName>
    <definedName name="рис1_4" hidden="1">{#N/A,#N/A,TRUE,"Лист1";#N/A,#N/A,TRUE,"Лист2";#N/A,#N/A,TRUE,"Лист3"}</definedName>
    <definedName name="рис1_5" hidden="1">{#N/A,#N/A,TRUE,"Лист1";#N/A,#N/A,TRUE,"Лист2";#N/A,#N/A,TRUE,"Лист3"}</definedName>
    <definedName name="рпрпрп">IF(Values_Entered,[0]!Header_Row+прпр,[0]!Header_Row)</definedName>
    <definedName name="с">[0]!с</definedName>
    <definedName name="С_КАЛ">#REF!</definedName>
    <definedName name="С_КАУ">#REF!</definedName>
    <definedName name="С_КОДЫ">#REF!</definedName>
    <definedName name="С_ОБЪЁМЫ">#REF!</definedName>
    <definedName name="С_ПУСК">#REF!</definedName>
    <definedName name="с_с_т_ф">#REF!</definedName>
    <definedName name="с_с_тепло">#REF!</definedName>
    <definedName name="с_с_эл_ф">#REF!</definedName>
    <definedName name="с_с_электра">#REF!</definedName>
    <definedName name="сентябрь">#REF!</definedName>
    <definedName name="СЕР_К">#REF!</definedName>
    <definedName name="СК_АН">#REF!</definedName>
    <definedName name="СОЦСТРАХ">#REF!</definedName>
    <definedName name="СПЛАВ6063">#REF!</definedName>
    <definedName name="СПЛАВ6063_КРАМЗ">#REF!</definedName>
    <definedName name="сс">[0]!сс</definedName>
    <definedName name="СС_АВЧ">#REF!</definedName>
    <definedName name="СС_АВЧВН">#REF!</definedName>
    <definedName name="СС_АВЧТОЛ">#REF!</definedName>
    <definedName name="СС_АЛФТЗФА">#REF!</definedName>
    <definedName name="СС_КРСМЕШ">#REF!</definedName>
    <definedName name="СС_МАРГ_ЛИГ_ДП">#REF!</definedName>
    <definedName name="СС_МАССА">#REF!</definedName>
    <definedName name="СС_СЫР">#REF!</definedName>
    <definedName name="СС_СЫРВН">#REF!</definedName>
    <definedName name="СС_СЫРТОЛ">#REF!</definedName>
    <definedName name="сс3">[0]!сс3</definedName>
    <definedName name="сссс">[0]!сссс</definedName>
    <definedName name="ссы">[0]!ссы</definedName>
    <definedName name="статьи">#REF!</definedName>
    <definedName name="статьи_план">#REF!</definedName>
    <definedName name="статьи_факт">#REF!</definedName>
    <definedName name="сто">#REF!</definedName>
    <definedName name="сто_проц_ф">#REF!</definedName>
    <definedName name="сто_процентов">#REF!</definedName>
    <definedName name="СЫР">#REF!</definedName>
    <definedName name="СЫР_ВН">#REF!</definedName>
    <definedName name="СЫР_ТОЛ">#REF!</definedName>
    <definedName name="СЫРА">#REF!</definedName>
    <definedName name="СЫРЬЁ">#REF!</definedName>
    <definedName name="т">[0]!т</definedName>
    <definedName name="ТВ_ЭЛЦ3">#REF!</definedName>
    <definedName name="ТВЁРДЫЙ">#REF!</definedName>
    <definedName name="тепло_проц_ф">#REF!</definedName>
    <definedName name="тепло_процент">#REF!</definedName>
    <definedName name="ТЗР">#REF!</definedName>
    <definedName name="ТИ">#REF!</definedName>
    <definedName name="ТОВАРНЫЙ">#REF!</definedName>
    <definedName name="ТОЛ">#REF!</definedName>
    <definedName name="ТОЛЛИНГ_СЫРЕЦ">#REF!</definedName>
    <definedName name="тп" hidden="1">{#N/A,#N/A,TRUE,"Лист1";#N/A,#N/A,TRUE,"Лист2";#N/A,#N/A,TRUE,"Лист3"}</definedName>
    <definedName name="тп_1" hidden="1">{#N/A,#N/A,TRUE,"Лист1";#N/A,#N/A,TRUE,"Лист2";#N/A,#N/A,TRUE,"Лист3"}</definedName>
    <definedName name="тп_2" hidden="1">{#N/A,#N/A,TRUE,"Лист1";#N/A,#N/A,TRUE,"Лист2";#N/A,#N/A,TRUE,"Лист3"}</definedName>
    <definedName name="тп_3" hidden="1">{#N/A,#N/A,TRUE,"Лист1";#N/A,#N/A,TRUE,"Лист2";#N/A,#N/A,TRUE,"Лист3"}</definedName>
    <definedName name="тп_4" hidden="1">{#N/A,#N/A,TRUE,"Лист1";#N/A,#N/A,TRUE,"Лист2";#N/A,#N/A,TRUE,"Лист3"}</definedName>
    <definedName name="тп_5" hidden="1">{#N/A,#N/A,TRUE,"Лист1";#N/A,#N/A,TRUE,"Лист2";#N/A,#N/A,TRUE,"Лист3"}</definedName>
    <definedName name="ТР">#REF!</definedName>
    <definedName name="третий">#REF!</definedName>
    <definedName name="тт">#REF!</definedName>
    <definedName name="у">[0]!у</definedName>
    <definedName name="ук">[0]!ук</definedName>
    <definedName name="укеееукеееееееееееееее" hidden="1">{#N/A,#N/A,TRUE,"Лист1";#N/A,#N/A,TRUE,"Лист2";#N/A,#N/A,TRUE,"Лист3"}</definedName>
    <definedName name="укеееукеееееееееееееее_1" hidden="1">{#N/A,#N/A,TRUE,"Лист1";#N/A,#N/A,TRUE,"Лист2";#N/A,#N/A,TRUE,"Лист3"}</definedName>
    <definedName name="укеееукеееееееееееееее_2" hidden="1">{#N/A,#N/A,TRUE,"Лист1";#N/A,#N/A,TRUE,"Лист2";#N/A,#N/A,TRUE,"Лист3"}</definedName>
    <definedName name="укеееукеееееееееееееее_3" hidden="1">{#N/A,#N/A,TRUE,"Лист1";#N/A,#N/A,TRUE,"Лист2";#N/A,#N/A,TRUE,"Лист3"}</definedName>
    <definedName name="укеееукеееееееееееееее_4" hidden="1">{#N/A,#N/A,TRUE,"Лист1";#N/A,#N/A,TRUE,"Лист2";#N/A,#N/A,TRUE,"Лист3"}</definedName>
    <definedName name="укеееукеееееееееееееее_5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кеукеуеуе_1" hidden="1">{#N/A,#N/A,TRUE,"Лист1";#N/A,#N/A,TRUE,"Лист2";#N/A,#N/A,TRUE,"Лист3"}</definedName>
    <definedName name="укеукеуеуе_2" hidden="1">{#N/A,#N/A,TRUE,"Лист1";#N/A,#N/A,TRUE,"Лист2";#N/A,#N/A,TRUE,"Лист3"}</definedName>
    <definedName name="укеукеуеуе_3" hidden="1">{#N/A,#N/A,TRUE,"Лист1";#N/A,#N/A,TRUE,"Лист2";#N/A,#N/A,TRUE,"Лист3"}</definedName>
    <definedName name="укеукеуеуе_4" hidden="1">{#N/A,#N/A,TRUE,"Лист1";#N/A,#N/A,TRUE,"Лист2";#N/A,#N/A,TRUE,"Лист3"}</definedName>
    <definedName name="укеукеуеуе_5" hidden="1">{#N/A,#N/A,TRUE,"Лист1";#N/A,#N/A,TRUE,"Лист2";#N/A,#N/A,TRUE,"Лист3"}</definedName>
    <definedName name="УП">[0]!УП</definedName>
    <definedName name="уфэ">[0]!уфэ</definedName>
    <definedName name="ф" hidden="1">{"konoplin - Личное представление",#N/A,TRUE,"ФинПлан_1кв";"konoplin - Личное представление",#N/A,TRUE,"ФинПлан_2кв"}</definedName>
    <definedName name="ф_1" hidden="1">{"konoplin - Личное представление",#N/A,TRUE,"ФинПлан_1кв";"konoplin - Личное представление",#N/A,TRUE,"ФинПлан_2кв"}</definedName>
    <definedName name="ф_2" hidden="1">{"konoplin - Личное представление",#N/A,TRUE,"ФинПлан_1кв";"konoplin - Личное представление",#N/A,TRUE,"ФинПлан_2кв"}</definedName>
    <definedName name="ф_3" hidden="1">{"konoplin - Личное представление",#N/A,TRUE,"ФинПлан_1кв";"konoplin - Личное представление",#N/A,TRUE,"ФинПлан_2кв"}</definedName>
    <definedName name="ф_4" hidden="1">{"konoplin - Личное представление",#N/A,TRUE,"ФинПлан_1кв";"konoplin - Личное представление",#N/A,TRUE,"ФинПлан_2кв"}</definedName>
    <definedName name="ф_5" hidden="1">{"konoplin - Личное представление",#N/A,TRUE,"ФинПлан_1кв";"konoplin - Личное представление",#N/A,TRUE,"ФинПлан_2кв"}</definedName>
    <definedName name="факт">#REF!</definedName>
    <definedName name="факт1">#REF!</definedName>
    <definedName name="ФЕВ_РУБ">#REF!</definedName>
    <definedName name="ФЕВ_ТОН">#REF!</definedName>
    <definedName name="февраль">#REF!</definedName>
    <definedName name="ФЛ_К">#REF!</definedName>
    <definedName name="форм">#REF!</definedName>
    <definedName name="Формат_ширина">[0]!Формат_ширина</definedName>
    <definedName name="формулы">#REF!</definedName>
    <definedName name="ФТ_К">#REF!</definedName>
    <definedName name="ффф">#REF!</definedName>
    <definedName name="ФФФ1">#REF!</definedName>
    <definedName name="ФФФ2">#REF!</definedName>
    <definedName name="ФФФФ">#REF!</definedName>
    <definedName name="ФЫ">#REF!</definedName>
    <definedName name="фыв">[0]!фыв</definedName>
    <definedName name="х">[0]!х</definedName>
    <definedName name="ХЛ_Н">#REF!</definedName>
    <definedName name="хххх">[0]!хххх</definedName>
    <definedName name="ц">[0]!ц</definedName>
    <definedName name="ЦЕННЗП_АВЧ">#REF!</definedName>
    <definedName name="ЦЕННЗП_АТЧ">#REF!</definedName>
    <definedName name="ЦЕХОВЫЕ">#REF!</definedName>
    <definedName name="ЦЕХР">#REF!</definedName>
    <definedName name="ЦЕХРИТ">#REF!</definedName>
    <definedName name="ЦЕХС">#REF!</definedName>
    <definedName name="цу">[0]!цу</definedName>
    <definedName name="ч">[0]!ч</definedName>
    <definedName name="четвертый">#REF!</definedName>
    <definedName name="ш">[0]!ш</definedName>
    <definedName name="ШТАНГИ">#REF!</definedName>
    <definedName name="щ">[0]!щ</definedName>
    <definedName name="щрррлтол">[0]!щрррлтол</definedName>
    <definedName name="ъ">#REF!</definedName>
    <definedName name="ы">[0]!ы</definedName>
    <definedName name="ыв">[0]!ыв</definedName>
    <definedName name="ыуаы" hidden="1">{#N/A,#N/A,TRUE,"Лист1";#N/A,#N/A,TRUE,"Лист2";#N/A,#N/A,TRUE,"Лист3"}</definedName>
    <definedName name="ыуаы_1" hidden="1">{#N/A,#N/A,TRUE,"Лист1";#N/A,#N/A,TRUE,"Лист2";#N/A,#N/A,TRUE,"Лист3"}</definedName>
    <definedName name="ыуаы_2" hidden="1">{#N/A,#N/A,TRUE,"Лист1";#N/A,#N/A,TRUE,"Лист2";#N/A,#N/A,TRUE,"Лист3"}</definedName>
    <definedName name="ыуаы_3" hidden="1">{#N/A,#N/A,TRUE,"Лист1";#N/A,#N/A,TRUE,"Лист2";#N/A,#N/A,TRUE,"Лист3"}</definedName>
    <definedName name="ыуаы_4" hidden="1">{#N/A,#N/A,TRUE,"Лист1";#N/A,#N/A,TRUE,"Лист2";#N/A,#N/A,TRUE,"Лист3"}</definedName>
    <definedName name="ыуаы_5" hidden="1">{#N/A,#N/A,TRUE,"Лист1";#N/A,#N/A,TRUE,"Лист2";#N/A,#N/A,TRUE,"Лист3"}</definedName>
    <definedName name="ыыыы">[0]!ыыыы</definedName>
    <definedName name="ыыыыы">[0]!ыыыыы</definedName>
    <definedName name="ыыыыыы">[0]!ыыыыыы</definedName>
    <definedName name="ыыыыыыыыыыыыыыы">[0]!ыыыыыыыыыыыыыыы</definedName>
    <definedName name="ь">[0]!ь</definedName>
    <definedName name="ьь">#REF!</definedName>
    <definedName name="ььььь">[0]!ььььь</definedName>
    <definedName name="э">[0]!э</definedName>
    <definedName name="электро_проц_ф">#REF!</definedName>
    <definedName name="электро_процент">#REF!</definedName>
    <definedName name="ЭН">#REF!</definedName>
    <definedName name="ЭЭ">#REF!</definedName>
    <definedName name="ЭЭ_">#REF!</definedName>
    <definedName name="ЭЭ_ЗФА">#REF!</definedName>
    <definedName name="ЭЭ_Т">#REF!</definedName>
    <definedName name="эээээээээээээээээээээ">[0]!эээээээээээээээээээээ</definedName>
    <definedName name="ю">[0]!ю</definedName>
    <definedName name="Южные">[0]!Южные</definedName>
    <definedName name="Южные1">[0]!Южные1</definedName>
    <definedName name="Южные3">[0]!Южные3</definedName>
    <definedName name="Южные4">[0]!Южные4</definedName>
    <definedName name="Южные5">[0]!Южные5</definedName>
    <definedName name="Южные6">[0]!Южные6</definedName>
    <definedName name="Южные7">[0]!Южные7</definedName>
    <definedName name="Южные8">[0]!Южные8</definedName>
    <definedName name="Южные9">[0]!Южные9</definedName>
    <definedName name="я">[0]!я</definedName>
    <definedName name="ЯНВ_РУБ">#REF!</definedName>
    <definedName name="ЯНВ_ТОН">#REF!</definedName>
  </definedNames>
  <calcPr fullCalcOnLoad="1"/>
</workbook>
</file>

<file path=xl/sharedStrings.xml><?xml version="1.0" encoding="utf-8"?>
<sst xmlns="http://schemas.openxmlformats.org/spreadsheetml/2006/main" count="1409" uniqueCount="264">
  <si>
    <t>тыс.кВтч</t>
  </si>
  <si>
    <t>%</t>
  </si>
  <si>
    <t>Водоотведение</t>
  </si>
  <si>
    <t>Факт</t>
  </si>
  <si>
    <t>Гкал</t>
  </si>
  <si>
    <t>Теплоснабжение</t>
  </si>
  <si>
    <t>Водоснабжение</t>
  </si>
  <si>
    <t>№</t>
  </si>
  <si>
    <t>Показатели</t>
  </si>
  <si>
    <t>Единица измерения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</si>
  <si>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</si>
  <si>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</si>
  <si>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</si>
  <si>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</si>
  <si>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</si>
  <si>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</si>
  <si>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</si>
  <si>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</si>
  <si>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</si>
  <si>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</si>
  <si>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</si>
  <si>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</si>
  <si>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</si>
  <si>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Отклонение</t>
  </si>
  <si>
    <t>Электроснабжение сбыт</t>
  </si>
  <si>
    <t>Отпуск в сеть/покупка, в т.ч</t>
  </si>
  <si>
    <t>2.1</t>
  </si>
  <si>
    <t>ВН</t>
  </si>
  <si>
    <t>2.2</t>
  </si>
  <si>
    <t>СН-I</t>
  </si>
  <si>
    <t>2.3</t>
  </si>
  <si>
    <t>СН-II</t>
  </si>
  <si>
    <t>2.4</t>
  </si>
  <si>
    <t>НН</t>
  </si>
  <si>
    <t>Собственные нужды</t>
  </si>
  <si>
    <t>Технические потери</t>
  </si>
  <si>
    <t>тыс. кВтч</t>
  </si>
  <si>
    <t>4.1</t>
  </si>
  <si>
    <t>Хозяйственные нужды</t>
  </si>
  <si>
    <t xml:space="preserve">Отпущено потребителям </t>
  </si>
  <si>
    <t>Коммерческие потери</t>
  </si>
  <si>
    <t>7.1</t>
  </si>
  <si>
    <t>Полезный отпуск всего, в т.ч.:</t>
  </si>
  <si>
    <t>8.1</t>
  </si>
  <si>
    <t xml:space="preserve"> - ВХО</t>
  </si>
  <si>
    <t>8.2</t>
  </si>
  <si>
    <t xml:space="preserve"> - полезный отпуск потребителям</t>
  </si>
  <si>
    <t>9</t>
  </si>
  <si>
    <t>Справочно: корректировка полезного отпуска предыдущего периода</t>
  </si>
  <si>
    <t>Объем потерь, учтенных при формировании сводного прогнозного баланса</t>
  </si>
  <si>
    <t>10.1</t>
  </si>
  <si>
    <t>в т.ч. сетевая компания контура</t>
  </si>
  <si>
    <t>Объем потерь, превышающий объем учтенных при формировании сводного прогнозного баланса</t>
  </si>
  <si>
    <t>11.1</t>
  </si>
  <si>
    <t>в т.ч сетевая компания контура</t>
  </si>
  <si>
    <t>Величина оплачиваемой мощности</t>
  </si>
  <si>
    <t>кВт</t>
  </si>
  <si>
    <t>12.1</t>
  </si>
  <si>
    <t>12.2</t>
  </si>
  <si>
    <t>12.3</t>
  </si>
  <si>
    <t>12.4</t>
  </si>
  <si>
    <t>Потери всего, в т.ч.:</t>
  </si>
  <si>
    <t>13.1</t>
  </si>
  <si>
    <t xml:space="preserve">    -нормативные (в тарифе)</t>
  </si>
  <si>
    <t>Электроснабжение передача</t>
  </si>
  <si>
    <t>14.1</t>
  </si>
  <si>
    <t>Прием электроэнергии в сеть, в т.ч из сетей смежных сетевых организаций</t>
  </si>
  <si>
    <t>14.2</t>
  </si>
  <si>
    <t>Отдача из сетей, в т.ч в сети смежных организаций</t>
  </si>
  <si>
    <t>Отпуск в сеть</t>
  </si>
  <si>
    <t>15.1</t>
  </si>
  <si>
    <t>15.2</t>
  </si>
  <si>
    <t>15.3</t>
  </si>
  <si>
    <t>15.4</t>
  </si>
  <si>
    <t>16.1</t>
  </si>
  <si>
    <t>17</t>
  </si>
  <si>
    <t>18</t>
  </si>
  <si>
    <t>19</t>
  </si>
  <si>
    <t>19.1</t>
  </si>
  <si>
    <t>20</t>
  </si>
  <si>
    <t>Объем оказанных услуг по передаче электрической энергии</t>
  </si>
  <si>
    <t>20.1</t>
  </si>
  <si>
    <t>20.2</t>
  </si>
  <si>
    <t>СН-1</t>
  </si>
  <si>
    <t>20.3</t>
  </si>
  <si>
    <t>20.4</t>
  </si>
  <si>
    <t>20.5</t>
  </si>
  <si>
    <t>в т.ч. объем оказанных услуг по передаче электрической энергии для сбытовых компаний контура</t>
  </si>
  <si>
    <t>20.6</t>
  </si>
  <si>
    <t>20.7</t>
  </si>
  <si>
    <t>20.8</t>
  </si>
  <si>
    <t>20.9</t>
  </si>
  <si>
    <t>21</t>
  </si>
  <si>
    <t>Справочно: корректировка объема оказанных услуг предыдущего периода</t>
  </si>
  <si>
    <t>22</t>
  </si>
  <si>
    <t>22.1</t>
  </si>
  <si>
    <t>22.2</t>
  </si>
  <si>
    <t>22.3</t>
  </si>
  <si>
    <t>22.4</t>
  </si>
  <si>
    <t>22.5</t>
  </si>
  <si>
    <t>в т.ч. величина оплачиваемой мощности для сбытовых компаний контура</t>
  </si>
  <si>
    <t>22.6</t>
  </si>
  <si>
    <t>22.7</t>
  </si>
  <si>
    <t>22.8</t>
  </si>
  <si>
    <t>22.9</t>
  </si>
  <si>
    <t>23</t>
  </si>
  <si>
    <t>23.1</t>
  </si>
  <si>
    <t>23.2</t>
  </si>
  <si>
    <t xml:space="preserve">    -нормативные (в тарифе, пропорционально фактическому отпуску в сеть)</t>
  </si>
  <si>
    <t>23.3</t>
  </si>
  <si>
    <t>24</t>
  </si>
  <si>
    <t>25</t>
  </si>
  <si>
    <t>Выработка собств. котельными</t>
  </si>
  <si>
    <t>26</t>
  </si>
  <si>
    <t>27</t>
  </si>
  <si>
    <t>Отпуск с коллекторов</t>
  </si>
  <si>
    <t>28</t>
  </si>
  <si>
    <t>28.1</t>
  </si>
  <si>
    <t>29</t>
  </si>
  <si>
    <t>30</t>
  </si>
  <si>
    <t>31</t>
  </si>
  <si>
    <t>31.1</t>
  </si>
  <si>
    <t>32</t>
  </si>
  <si>
    <t>32.1</t>
  </si>
  <si>
    <t xml:space="preserve"> - ВХО для целей ГВС</t>
  </si>
  <si>
    <t>32.2</t>
  </si>
  <si>
    <t xml:space="preserve"> - ВХО для прочих целей</t>
  </si>
  <si>
    <t>32.3</t>
  </si>
  <si>
    <t>33</t>
  </si>
  <si>
    <t>34</t>
  </si>
  <si>
    <t>34.1</t>
  </si>
  <si>
    <t>34.2</t>
  </si>
  <si>
    <t>34.3</t>
  </si>
  <si>
    <t>35</t>
  </si>
  <si>
    <t>Покупная тепловая энергия</t>
  </si>
  <si>
    <t>36</t>
  </si>
  <si>
    <t>36.1</t>
  </si>
  <si>
    <t>37</t>
  </si>
  <si>
    <t>38</t>
  </si>
  <si>
    <t>39</t>
  </si>
  <si>
    <t>39.1</t>
  </si>
  <si>
    <t>40</t>
  </si>
  <si>
    <t>40.1</t>
  </si>
  <si>
    <t>40.2</t>
  </si>
  <si>
    <t>40.3</t>
  </si>
  <si>
    <t>41</t>
  </si>
  <si>
    <t>42</t>
  </si>
  <si>
    <t>42.1</t>
  </si>
  <si>
    <t>42.2</t>
  </si>
  <si>
    <t>42.3</t>
  </si>
  <si>
    <t>43</t>
  </si>
  <si>
    <t>Отпуск в сеть всего</t>
  </si>
  <si>
    <t>44</t>
  </si>
  <si>
    <t>44.1</t>
  </si>
  <si>
    <t>45</t>
  </si>
  <si>
    <t>46</t>
  </si>
  <si>
    <t>47</t>
  </si>
  <si>
    <t>47.1</t>
  </si>
  <si>
    <t>48</t>
  </si>
  <si>
    <t>48.1</t>
  </si>
  <si>
    <t xml:space="preserve">   - ВХО для целей ГВС</t>
  </si>
  <si>
    <t>48.2</t>
  </si>
  <si>
    <t xml:space="preserve">   - ВХО для прочих целей</t>
  </si>
  <si>
    <t>48.3</t>
  </si>
  <si>
    <t>49</t>
  </si>
  <si>
    <t>Транспорт тепловой энергии</t>
  </si>
  <si>
    <t>50</t>
  </si>
  <si>
    <t>50.1</t>
  </si>
  <si>
    <t>50.2</t>
  </si>
  <si>
    <t>50.3</t>
  </si>
  <si>
    <t>51</t>
  </si>
  <si>
    <t>Горячее водоснабжение</t>
  </si>
  <si>
    <t>52</t>
  </si>
  <si>
    <t>Вода для целей ГВС всего, в т.ч.:</t>
  </si>
  <si>
    <t>тыс. куб. м</t>
  </si>
  <si>
    <t>52.1</t>
  </si>
  <si>
    <t xml:space="preserve"> - собственная(ВХО)</t>
  </si>
  <si>
    <t>52.2</t>
  </si>
  <si>
    <t xml:space="preserve"> - покупная</t>
  </si>
  <si>
    <t>53</t>
  </si>
  <si>
    <t>Полезный отпуск ГВС всего, в т.ч.:</t>
  </si>
  <si>
    <t>53.1</t>
  </si>
  <si>
    <t>53.2</t>
  </si>
  <si>
    <t>54</t>
  </si>
  <si>
    <t>55</t>
  </si>
  <si>
    <t>Q нагрева</t>
  </si>
  <si>
    <t>Гкал/куб.м</t>
  </si>
  <si>
    <t>56</t>
  </si>
  <si>
    <t>ХОВ</t>
  </si>
  <si>
    <t>57</t>
  </si>
  <si>
    <t>Получено ХОВ от поставщиков</t>
  </si>
  <si>
    <t>тыс.куб.м</t>
  </si>
  <si>
    <t>58</t>
  </si>
  <si>
    <t>Отпуск собственной ХОВ</t>
  </si>
  <si>
    <t>59</t>
  </si>
  <si>
    <t>Отпуск ХОВ в сеть всего</t>
  </si>
  <si>
    <t>60</t>
  </si>
  <si>
    <t>61</t>
  </si>
  <si>
    <t>Полезный отпуск потребителям</t>
  </si>
  <si>
    <t>62</t>
  </si>
  <si>
    <t>Нераспределенная ХОВ (потери)</t>
  </si>
  <si>
    <t>62.1</t>
  </si>
  <si>
    <t>% к отпуску в сеть</t>
  </si>
  <si>
    <t>63</t>
  </si>
  <si>
    <t>64</t>
  </si>
  <si>
    <t>Объем добычи воды (подъем воды)</t>
  </si>
  <si>
    <t>65</t>
  </si>
  <si>
    <t>Производственные нужды</t>
  </si>
  <si>
    <t>66</t>
  </si>
  <si>
    <t>Потери воды при добыче</t>
  </si>
  <si>
    <t>67</t>
  </si>
  <si>
    <t>68</t>
  </si>
  <si>
    <t>Объем покупной воды</t>
  </si>
  <si>
    <t>69</t>
  </si>
  <si>
    <t>Отпуск воды в сеть всего</t>
  </si>
  <si>
    <t>70</t>
  </si>
  <si>
    <t>70.1</t>
  </si>
  <si>
    <t>71</t>
  </si>
  <si>
    <t>72</t>
  </si>
  <si>
    <t>73</t>
  </si>
  <si>
    <t>73.1</t>
  </si>
  <si>
    <t>74</t>
  </si>
  <si>
    <t>Полезный отпуск воды всего, в т.ч.:</t>
  </si>
  <si>
    <t>74.1</t>
  </si>
  <si>
    <t>74.2</t>
  </si>
  <si>
    <t>74.3</t>
  </si>
  <si>
    <t>75</t>
  </si>
  <si>
    <t>76</t>
  </si>
  <si>
    <t>76.1</t>
  </si>
  <si>
    <t>76.2</t>
  </si>
  <si>
    <t>76.3</t>
  </si>
  <si>
    <t>77</t>
  </si>
  <si>
    <t>Транспортировка воды</t>
  </si>
  <si>
    <t>78</t>
  </si>
  <si>
    <t>79</t>
  </si>
  <si>
    <t>Пропущено сточных вод, всего в т.ч.:</t>
  </si>
  <si>
    <t>80</t>
  </si>
  <si>
    <t>ВХО</t>
  </si>
  <si>
    <t>81</t>
  </si>
  <si>
    <t>От потребителей</t>
  </si>
  <si>
    <t>82</t>
  </si>
  <si>
    <t>Справочно: корректировка объма стоков предыдущего периода</t>
  </si>
  <si>
    <t>83</t>
  </si>
  <si>
    <t>84</t>
  </si>
  <si>
    <t>84.1</t>
  </si>
  <si>
    <t>85</t>
  </si>
  <si>
    <t>Отдано на очистку</t>
  </si>
  <si>
    <t>86</t>
  </si>
  <si>
    <t>Транспортировка стоков</t>
  </si>
  <si>
    <t>Прогноз до конца года</t>
  </si>
  <si>
    <t>Х</t>
  </si>
  <si>
    <t>Неучтенный приток в т.ч.:</t>
  </si>
  <si>
    <t>64.1</t>
  </si>
  <si>
    <t>в т.ч. Техническая вода</t>
  </si>
  <si>
    <t>84.2</t>
  </si>
  <si>
    <t>84.3</t>
  </si>
  <si>
    <t>15.5</t>
  </si>
  <si>
    <t>ГН</t>
  </si>
  <si>
    <t>20.10</t>
  </si>
  <si>
    <t>22.10</t>
  </si>
  <si>
    <t>2018 год</t>
  </si>
  <si>
    <t>Производственный баланс АО "ОРЭС-Тольятти"</t>
  </si>
  <si>
    <t>2020 год</t>
  </si>
  <si>
    <t>2021 год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</si>
</sst>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%"/>
    <numFmt numFmtId="169" formatCode="#,##0.0000"/>
    <numFmt numFmtId="170" formatCode="dd\-mmm\-yy"/>
    <numFmt numFmtId="171" formatCode="_-* #,##0\ &quot;руб&quot;_-;\-* #,##0\ &quot;руб&quot;_-;_-* &quot;-&quot;\ &quot;руб&quot;_-;_-@_-"/>
    <numFmt numFmtId="172" formatCode="mmmm\ d\,\ yyyy"/>
    <numFmt numFmtId="173" formatCode="&quot;?.&quot;#,##0_);[Red]\(&quot;?.&quot;#,##0\)"/>
    <numFmt numFmtId="174" formatCode="&quot;?.&quot;#,##0.00_);[Red]\(&quot;?.&quot;#,##0.00\)"/>
    <numFmt numFmtId="175" formatCode="_-* #,##0\ _F_-;\-* #,##0\ _F_-;_-* &quot;-&quot;\ _F_-;_-@_-"/>
    <numFmt numFmtId="176" formatCode="_-* #,##0.00\ _F_-;\-* #,##0.00\ _F_-;_-* &quot;-&quot;??\ _F_-;_-@_-"/>
    <numFmt numFmtId="177" formatCode="&quot;$&quot;#,##0_);[Red]\(&quot;$&quot;#,##0\)"/>
    <numFmt numFmtId="178" formatCode="_-* #,##0.00\ &quot;F&quot;_-;\-* #,##0.00\ &quot;F&quot;_-;_-* &quot;-&quot;??\ &quot;F&quot;_-;_-@_-"/>
    <numFmt numFmtId="179" formatCode="_-* #,##0_-;\-* #,##0_-;_-* &quot;-&quot;_-;_-@_-"/>
    <numFmt numFmtId="180" formatCode="_-* #,##0.00_-;\-* #,##0.00_-;_-* &quot;-&quot;??_-;_-@_-"/>
    <numFmt numFmtId="181" formatCode="_-* #,##0.00\ [$€]_-;\-* #,##0.00\ [$€]_-;_-* &quot;-&quot;??\ [$€]_-;_-@_-"/>
    <numFmt numFmtId="182" formatCode="_(* #,##0_);_(* \(#,##0\);_(* &quot;-&quot;_);_(@_)"/>
    <numFmt numFmtId="183" formatCode="#,##0_ ;[Red]\-#,##0\ "/>
    <numFmt numFmtId="184" formatCode="_(* #,##0_);_(* \(#,##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#,##0_);[Red]\(#,##0\)"/>
    <numFmt numFmtId="188" formatCode="#,##0.00_);[Red]\(#,##0.00\)"/>
    <numFmt numFmtId="189" formatCode="#,##0.00;[Red]\-#,##0.00;&quot;-&quot;"/>
    <numFmt numFmtId="190" formatCode="#,##0;[Red]\-#,##0;&quot;-&quot;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General_)"/>
    <numFmt numFmtId="194" formatCode="0.0"/>
    <numFmt numFmtId="195" formatCode="_-* #,##0\ _р_._-;\-* #,##0\ _р_._-;_-* &quot;-&quot;\ _р_._-;_-@_-"/>
    <numFmt numFmtId="196" formatCode="_-* #,##0.00\ _р_._-;\-* #,##0.00\ _р_._-;_-* &quot;-&quot;??\ _р_._-;_-@_-"/>
    <numFmt numFmtId="197" formatCode="#,###"/>
    <numFmt numFmtId="198" formatCode="#,##0.00_ ;[Red]\-#,##0.00\ "/>
    <numFmt numFmtId="199" formatCode="#,##0.000_ ;[Red]\-#,##0.000\ "/>
    <numFmt numFmtId="200" formatCode="#,##0.0"/>
    <numFmt numFmtId="201" formatCode="#,##0.0_ ;[Red]\-#,##0.0\ "/>
    <numFmt numFmtId="202" formatCode="#,##0.00_ ;\-#,##0.00\ "/>
    <numFmt numFmtId="203" formatCode="#,##0.000"/>
    <numFmt numFmtId="204" formatCode="0.000000"/>
    <numFmt numFmtId="205" formatCode="0.000"/>
    <numFmt numFmtId="206" formatCode="0.00000"/>
    <numFmt numFmtId="207" formatCode="0.0000"/>
    <numFmt numFmtId="208" formatCode="0.000%"/>
    <numFmt numFmtId="209" formatCode="#,##0.00000"/>
    <numFmt numFmtId="210" formatCode="#,##0.000000"/>
    <numFmt numFmtId="211" formatCode="#,##0.00000000"/>
    <numFmt numFmtId="212" formatCode="#,##0.000000000"/>
    <numFmt numFmtId="213" formatCode="0.00000%"/>
    <numFmt numFmtId="214" formatCode="0.00000000"/>
    <numFmt numFmtId="215" formatCode="0.000000000"/>
    <numFmt numFmtId="216" formatCode="###\ ###\ ###\ ###"/>
    <numFmt numFmtId="217" formatCode="0.0000000%"/>
    <numFmt numFmtId="218" formatCode="0.00000000%"/>
    <numFmt numFmtId="219" formatCode="0.000000%"/>
    <numFmt numFmtId="220" formatCode="0.0000%"/>
    <numFmt numFmtId="221" formatCode="0.000000000%"/>
    <numFmt numFmtId="222" formatCode="_-* #,##0.000_р_._-;\-* #,##0.000_р_._-;_-* &quot;-&quot;??_р_._-;_-@_-"/>
    <numFmt numFmtId="223" formatCode="_-* #,##0.0000_р_._-;\-* #,##0.0000_р_._-;_-* &quot;-&quot;??_р_._-;_-@_-"/>
  </numFmts>
  <fonts count="102">
    <font>
      <sz val="10"/>
      <name val="Arial Cyr"/>
      <family val="0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Helv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2"/>
      <name val="Arial"/>
      <family val="2"/>
    </font>
    <font>
      <sz val="10"/>
      <name val="MS Sans Serif"/>
      <family val="2"/>
    </font>
    <font>
      <u val="single"/>
      <sz val="10"/>
      <color indexed="12"/>
      <name val="Arial Cyr"/>
      <family val="0"/>
    </font>
    <font>
      <sz val="10"/>
      <color indexed="8"/>
      <name val="MS Sans Serif"/>
      <family val="2"/>
    </font>
    <font>
      <i/>
      <sz val="1"/>
      <color indexed="8"/>
      <name val="Courier"/>
      <family val="3"/>
    </font>
    <font>
      <u val="single"/>
      <sz val="8.5"/>
      <color indexed="36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2"/>
      <name val="Times New Roman Cyr"/>
      <family val="1"/>
    </font>
    <font>
      <u val="single"/>
      <sz val="10"/>
      <color indexed="36"/>
      <name val="Arial Cyr"/>
      <family val="0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Helv"/>
      <family val="0"/>
    </font>
    <font>
      <b/>
      <sz val="20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b/>
      <i/>
      <sz val="10"/>
      <color indexed="9"/>
      <name val="Arial"/>
      <family val="2"/>
    </font>
    <font>
      <b/>
      <sz val="14"/>
      <name val="Times New Roman"/>
      <family val="1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9"/>
      <name val="Arial Cyr"/>
      <family val="0"/>
    </font>
    <font>
      <sz val="11"/>
      <color indexed="10"/>
      <name val="Arial Cyr"/>
      <family val="2"/>
    </font>
    <font>
      <sz val="10"/>
      <name val="Times New Roman Cyr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1"/>
      <color indexed="9"/>
      <name val="Calibri"/>
      <family val="2"/>
    </font>
    <font>
      <u val="single"/>
      <sz val="10"/>
      <color indexed="20"/>
      <name val="Arial Cyr"/>
      <family val="0"/>
    </font>
    <font>
      <sz val="10"/>
      <color indexed="62"/>
      <name val="Arial Cyr"/>
      <family val="2"/>
    </font>
    <font>
      <sz val="11"/>
      <color indexed="62"/>
      <name val="Calibri"/>
      <family val="2"/>
    </font>
    <font>
      <b/>
      <sz val="10"/>
      <color indexed="63"/>
      <name val="Arial Cyr"/>
      <family val="2"/>
    </font>
    <font>
      <b/>
      <sz val="11"/>
      <color indexed="63"/>
      <name val="Calibri"/>
      <family val="2"/>
    </font>
    <font>
      <b/>
      <sz val="10"/>
      <color indexed="52"/>
      <name val="Arial Cyr"/>
      <family val="2"/>
    </font>
    <font>
      <b/>
      <sz val="11"/>
      <color indexed="52"/>
      <name val="Calibri"/>
      <family val="2"/>
    </font>
    <font>
      <b/>
      <sz val="15"/>
      <color indexed="56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Arial Cyr"/>
      <family val="2"/>
    </font>
    <font>
      <b/>
      <sz val="13"/>
      <color indexed="56"/>
      <name val="Calibri"/>
      <family val="2"/>
    </font>
    <font>
      <b/>
      <sz val="11"/>
      <color indexed="56"/>
      <name val="Arial Cyr"/>
      <family val="2"/>
    </font>
    <font>
      <b/>
      <sz val="11"/>
      <color indexed="56"/>
      <name val="Calibri"/>
      <family val="2"/>
    </font>
    <font>
      <b/>
      <sz val="10"/>
      <color indexed="8"/>
      <name val="Arial Cyr"/>
      <family val="2"/>
    </font>
    <font>
      <b/>
      <sz val="11"/>
      <color indexed="8"/>
      <name val="Calibri"/>
      <family val="2"/>
    </font>
    <font>
      <b/>
      <sz val="10"/>
      <color indexed="9"/>
      <name val="Arial Cyr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60"/>
      <name val="Calibri"/>
      <family val="2"/>
    </font>
    <font>
      <sz val="10"/>
      <color indexed="20"/>
      <name val="Arial Cyr"/>
      <family val="2"/>
    </font>
    <font>
      <sz val="11"/>
      <color indexed="20"/>
      <name val="Calibri"/>
      <family val="2"/>
    </font>
    <font>
      <i/>
      <sz val="10"/>
      <color indexed="23"/>
      <name val="Arial Cyr"/>
      <family val="2"/>
    </font>
    <font>
      <i/>
      <sz val="11"/>
      <color indexed="23"/>
      <name val="Calibri"/>
      <family val="2"/>
    </font>
    <font>
      <sz val="10"/>
      <color indexed="52"/>
      <name val="Arial Cyr"/>
      <family val="2"/>
    </font>
    <font>
      <sz val="11"/>
      <color indexed="52"/>
      <name val="Calibri"/>
      <family val="2"/>
    </font>
    <font>
      <sz val="10"/>
      <color indexed="10"/>
      <name val="Arial Cyr"/>
      <family val="2"/>
    </font>
    <font>
      <sz val="11"/>
      <color indexed="10"/>
      <name val="Calibri"/>
      <family val="2"/>
    </font>
    <font>
      <sz val="10"/>
      <color indexed="17"/>
      <name val="Arial Cyr"/>
      <family val="2"/>
    </font>
    <font>
      <sz val="11"/>
      <color indexed="17"/>
      <name val="Calibri"/>
      <family val="2"/>
    </font>
    <font>
      <b/>
      <sz val="16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i/>
      <sz val="12"/>
      <name val="Times New Roman"/>
      <family val="1"/>
    </font>
    <font>
      <sz val="12"/>
      <name val="Arial"/>
      <family val="2"/>
    </font>
    <font>
      <i/>
      <sz val="12"/>
      <color indexed="8"/>
      <name val="Times New Roman"/>
      <family val="1"/>
    </font>
    <font>
      <b/>
      <u val="single"/>
      <sz val="10"/>
      <name val="Times New Roman"/>
      <family val="1"/>
    </font>
    <font>
      <i/>
      <sz val="12"/>
      <color indexed="8"/>
      <name val="Arial"/>
      <family val="2"/>
    </font>
    <font>
      <b/>
      <u val="single"/>
      <sz val="12"/>
      <name val="Times New Roman"/>
      <family val="1"/>
    </font>
    <font>
      <sz val="8"/>
      <name val="Arial Cyr"/>
      <family val="0"/>
    </font>
    <font>
      <i/>
      <sz val="12"/>
      <name val="Arial"/>
      <family val="2"/>
    </font>
    <font>
      <b/>
      <u val="single"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2">
    <border>
      <left/>
      <right/>
      <top/>
      <bottom/>
      <diagonal/>
    </border>
    <border>
      <left/>
      <right/>
      <top style="thin"/>
      <bottom style="double"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/>
    </border>
    <border>
      <left/>
      <right/>
      <top style="hair"/>
      <bottom style="hair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9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66" fontId="7" fillId="0" borderId="0">
      <alignment/>
      <protection locked="0"/>
    </xf>
    <xf numFmtId="166" fontId="7" fillId="0" borderId="0">
      <alignment/>
      <protection locked="0"/>
    </xf>
    <xf numFmtId="166" fontId="7" fillId="0" borderId="0">
      <alignment/>
      <protection locked="0"/>
    </xf>
    <xf numFmtId="166" fontId="7" fillId="0" borderId="0">
      <alignment/>
      <protection locked="0"/>
    </xf>
    <xf numFmtId="166" fontId="7" fillId="0" borderId="0">
      <alignment/>
      <protection locked="0"/>
    </xf>
    <xf numFmtId="166" fontId="7" fillId="0" borderId="0">
      <alignment/>
      <protection locked="0"/>
    </xf>
    <xf numFmtId="166" fontId="7" fillId="0" borderId="0">
      <alignment/>
      <protection locked="0"/>
    </xf>
    <xf numFmtId="166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0" fontId="7" fillId="0" borderId="1">
      <alignment/>
      <protection locked="0"/>
    </xf>
    <xf numFmtId="0" fontId="7" fillId="0" borderId="1">
      <alignment/>
      <protection locked="0"/>
    </xf>
    <xf numFmtId="0" fontId="7" fillId="0" borderId="1">
      <alignment/>
      <protection locked="0"/>
    </xf>
    <xf numFmtId="0" fontId="7" fillId="0" borderId="1">
      <alignment/>
      <protection locked="0"/>
    </xf>
    <xf numFmtId="170" fontId="8" fillId="0" borderId="0">
      <alignment/>
      <protection locked="0"/>
    </xf>
    <xf numFmtId="170" fontId="8" fillId="0" borderId="0">
      <alignment/>
      <protection locked="0"/>
    </xf>
    <xf numFmtId="170" fontId="8" fillId="0" borderId="0">
      <alignment/>
      <protection locked="0"/>
    </xf>
    <xf numFmtId="170" fontId="8" fillId="0" borderId="0">
      <alignment/>
      <protection locked="0"/>
    </xf>
    <xf numFmtId="170" fontId="8" fillId="0" borderId="0">
      <alignment/>
      <protection locked="0"/>
    </xf>
    <xf numFmtId="170" fontId="8" fillId="0" borderId="0">
      <alignment/>
      <protection locked="0"/>
    </xf>
    <xf numFmtId="170" fontId="8" fillId="0" borderId="0">
      <alignment/>
      <protection locked="0"/>
    </xf>
    <xf numFmtId="170" fontId="8" fillId="0" borderId="0">
      <alignment/>
      <protection locked="0"/>
    </xf>
    <xf numFmtId="170" fontId="7" fillId="0" borderId="1">
      <alignment/>
      <protection locked="0"/>
    </xf>
    <xf numFmtId="170" fontId="7" fillId="0" borderId="1">
      <alignment/>
      <protection locked="0"/>
    </xf>
    <xf numFmtId="170" fontId="7" fillId="0" borderId="1">
      <alignment/>
      <protection locked="0"/>
    </xf>
    <xf numFmtId="170" fontId="7" fillId="0" borderId="1">
      <alignment/>
      <protection locked="0"/>
    </xf>
    <xf numFmtId="171" fontId="0" fillId="0" borderId="0">
      <alignment horizontal="center"/>
      <protection/>
    </xf>
    <xf numFmtId="171" fontId="0" fillId="0" borderId="0">
      <alignment horizontal="center"/>
      <protection/>
    </xf>
    <xf numFmtId="0" fontId="82" fillId="2" borderId="0" applyNumberFormat="0" applyBorder="0" applyAlignment="0" applyProtection="0"/>
    <xf numFmtId="0" fontId="35" fillId="2" borderId="0" applyNumberFormat="0" applyBorder="0" applyAlignment="0" applyProtection="0"/>
    <xf numFmtId="0" fontId="1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82" fillId="3" borderId="0" applyNumberFormat="0" applyBorder="0" applyAlignment="0" applyProtection="0"/>
    <xf numFmtId="0" fontId="35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82" fillId="4" borderId="0" applyNumberFormat="0" applyBorder="0" applyAlignment="0" applyProtection="0"/>
    <xf numFmtId="0" fontId="35" fillId="4" borderId="0" applyNumberFormat="0" applyBorder="0" applyAlignment="0" applyProtection="0"/>
    <xf numFmtId="0" fontId="1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82" fillId="5" borderId="0" applyNumberFormat="0" applyBorder="0" applyAlignment="0" applyProtection="0"/>
    <xf numFmtId="0" fontId="35" fillId="5" borderId="0" applyNumberFormat="0" applyBorder="0" applyAlignment="0" applyProtection="0"/>
    <xf numFmtId="0" fontId="1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82" fillId="6" borderId="0" applyNumberFormat="0" applyBorder="0" applyAlignment="0" applyProtection="0"/>
    <xf numFmtId="0" fontId="35" fillId="7" borderId="0" applyNumberFormat="0" applyBorder="0" applyAlignment="0" applyProtection="0"/>
    <xf numFmtId="0" fontId="1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82" fillId="8" borderId="0" applyNumberFormat="0" applyBorder="0" applyAlignment="0" applyProtection="0"/>
    <xf numFmtId="0" fontId="35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172" fontId="9" fillId="10" borderId="2">
      <alignment horizontal="center" vertical="center"/>
      <protection locked="0"/>
    </xf>
    <xf numFmtId="0" fontId="82" fillId="11" borderId="0" applyNumberFormat="0" applyBorder="0" applyAlignment="0" applyProtection="0"/>
    <xf numFmtId="0" fontId="35" fillId="12" borderId="0" applyNumberFormat="0" applyBorder="0" applyAlignment="0" applyProtection="0"/>
    <xf numFmtId="0" fontId="1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82" fillId="13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82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82" fillId="16" borderId="0" applyNumberFormat="0" applyBorder="0" applyAlignment="0" applyProtection="0"/>
    <xf numFmtId="0" fontId="35" fillId="5" borderId="0" applyNumberFormat="0" applyBorder="0" applyAlignment="0" applyProtection="0"/>
    <xf numFmtId="0" fontId="1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82" fillId="17" borderId="0" applyNumberFormat="0" applyBorder="0" applyAlignment="0" applyProtection="0"/>
    <xf numFmtId="0" fontId="35" fillId="12" borderId="0" applyNumberFormat="0" applyBorder="0" applyAlignment="0" applyProtection="0"/>
    <xf numFmtId="0" fontId="1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82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83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83" fillId="22" borderId="0" applyNumberFormat="0" applyBorder="0" applyAlignment="0" applyProtection="0"/>
    <xf numFmtId="0" fontId="36" fillId="14" borderId="0" applyNumberFormat="0" applyBorder="0" applyAlignment="0" applyProtection="0"/>
    <xf numFmtId="0" fontId="37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83" fillId="15" borderId="0" applyNumberFormat="0" applyBorder="0" applyAlignment="0" applyProtection="0"/>
    <xf numFmtId="0" fontId="36" fillId="15" borderId="0" applyNumberFormat="0" applyBorder="0" applyAlignment="0" applyProtection="0"/>
    <xf numFmtId="0" fontId="37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83" fillId="23" borderId="0" applyNumberFormat="0" applyBorder="0" applyAlignment="0" applyProtection="0"/>
    <xf numFmtId="0" fontId="36" fillId="23" borderId="0" applyNumberFormat="0" applyBorder="0" applyAlignment="0" applyProtection="0"/>
    <xf numFmtId="0" fontId="37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83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83" fillId="26" borderId="0" applyNumberFormat="0" applyBorder="0" applyAlignment="0" applyProtection="0"/>
    <xf numFmtId="0" fontId="36" fillId="26" borderId="0" applyNumberFormat="0" applyBorder="0" applyAlignment="0" applyProtection="0"/>
    <xf numFmtId="0" fontId="37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Fill="0" applyBorder="0" applyAlignment="0">
      <protection/>
    </xf>
    <xf numFmtId="0" fontId="12" fillId="0" borderId="0" applyFill="0" applyBorder="0" applyAlignment="0">
      <protection/>
    </xf>
    <xf numFmtId="0" fontId="12" fillId="0" borderId="0" applyFill="0" applyBorder="0" applyAlignment="0">
      <protection/>
    </xf>
    <xf numFmtId="0" fontId="12" fillId="0" borderId="0" applyFill="0" applyBorder="0" applyAlignment="0">
      <protection/>
    </xf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13" fillId="0" borderId="0">
      <alignment/>
      <protection locked="0"/>
    </xf>
    <xf numFmtId="170" fontId="13" fillId="0" borderId="0">
      <alignment/>
      <protection locked="0"/>
    </xf>
    <xf numFmtId="170" fontId="13" fillId="0" borderId="0">
      <alignment/>
      <protection locked="0"/>
    </xf>
    <xf numFmtId="170" fontId="13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13" fillId="0" borderId="0">
      <alignment/>
      <protection locked="0"/>
    </xf>
    <xf numFmtId="170" fontId="13" fillId="0" borderId="0">
      <alignment/>
      <protection locked="0"/>
    </xf>
    <xf numFmtId="170" fontId="13" fillId="0" borderId="0">
      <alignment/>
      <protection locked="0"/>
    </xf>
    <xf numFmtId="170" fontId="13" fillId="0" borderId="0">
      <alignment/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3" applyNumberFormat="0" applyAlignment="0" applyProtection="0"/>
    <xf numFmtId="0" fontId="9" fillId="0" borderId="4">
      <alignment horizontal="left" vertical="center"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0">
      <alignment/>
      <protection/>
    </xf>
    <xf numFmtId="182" fontId="17" fillId="12" borderId="5">
      <alignment horizontal="center" vertical="center" wrapText="1"/>
      <protection locked="0"/>
    </xf>
    <xf numFmtId="0" fontId="1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20" fillId="27" borderId="5">
      <alignment horizontal="left" vertical="center" wrapText="1"/>
      <protection/>
    </xf>
    <xf numFmtId="183" fontId="17" fillId="0" borderId="6">
      <alignment horizontal="right" vertical="center" wrapText="1"/>
      <protection/>
    </xf>
    <xf numFmtId="0" fontId="21" fillId="28" borderId="0">
      <alignment/>
      <protection/>
    </xf>
    <xf numFmtId="184" fontId="4" fillId="29" borderId="6">
      <alignment vertical="center"/>
      <protection/>
    </xf>
    <xf numFmtId="167" fontId="0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0" fontId="4" fillId="0" borderId="0">
      <alignment/>
      <protection/>
    </xf>
    <xf numFmtId="0" fontId="22" fillId="0" borderId="0">
      <alignment/>
      <protection/>
    </xf>
    <xf numFmtId="0" fontId="6" fillId="0" borderId="0">
      <alignment/>
      <protection/>
    </xf>
    <xf numFmtId="187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 applyNumberFormat="0">
      <alignment horizontal="left"/>
      <protection/>
    </xf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184" fontId="24" fillId="29" borderId="6">
      <alignment horizontal="center" vertical="center" wrapText="1"/>
      <protection locked="0"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30" borderId="0">
      <alignment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182" fontId="25" fillId="12" borderId="5" applyFont="0" applyAlignment="0" applyProtection="0"/>
    <xf numFmtId="182" fontId="25" fillId="12" borderId="5" applyFont="0" applyAlignment="0" applyProtection="0"/>
    <xf numFmtId="182" fontId="25" fillId="12" borderId="5" applyFont="0" applyAlignment="0" applyProtection="0"/>
    <xf numFmtId="182" fontId="25" fillId="12" borderId="5" applyFont="0" applyAlignment="0" applyProtection="0"/>
    <xf numFmtId="0" fontId="3" fillId="27" borderId="5">
      <alignment horizontal="left" vertical="center" wrapText="1"/>
      <protection/>
    </xf>
    <xf numFmtId="189" fontId="25" fillId="0" borderId="5">
      <alignment horizontal="center" vertical="center" wrapText="1"/>
      <protection/>
    </xf>
    <xf numFmtId="190" fontId="25" fillId="12" borderId="5">
      <alignment horizontal="center" vertical="center" wrapText="1"/>
      <protection locked="0"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184" fontId="26" fillId="31" borderId="8">
      <alignment horizontal="center"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91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84" fontId="4" fillId="32" borderId="6" applyNumberFormat="0" applyFill="0" applyBorder="0" applyProtection="0">
      <alignment vertical="center"/>
    </xf>
    <xf numFmtId="184" fontId="4" fillId="32" borderId="6" applyNumberFormat="0" applyFill="0" applyBorder="0" applyProtection="0">
      <alignment vertical="center"/>
    </xf>
    <xf numFmtId="0" fontId="83" fillId="33" borderId="0" applyNumberFormat="0" applyBorder="0" applyAlignment="0" applyProtection="0"/>
    <xf numFmtId="0" fontId="36" fillId="34" borderId="0" applyNumberFormat="0" applyBorder="0" applyAlignment="0" applyProtection="0"/>
    <xf numFmtId="0" fontId="37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83" fillId="35" borderId="0" applyNumberFormat="0" applyBorder="0" applyAlignment="0" applyProtection="0"/>
    <xf numFmtId="0" fontId="36" fillId="31" borderId="0" applyNumberFormat="0" applyBorder="0" applyAlignment="0" applyProtection="0"/>
    <xf numFmtId="0" fontId="37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83" fillId="36" borderId="0" applyNumberFormat="0" applyBorder="0" applyAlignment="0" applyProtection="0"/>
    <xf numFmtId="0" fontId="36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83" fillId="38" borderId="0" applyNumberFormat="0" applyBorder="0" applyAlignment="0" applyProtection="0"/>
    <xf numFmtId="0" fontId="36" fillId="23" borderId="0" applyNumberFormat="0" applyBorder="0" applyAlignment="0" applyProtection="0"/>
    <xf numFmtId="0" fontId="37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83" fillId="39" borderId="0" applyNumberFormat="0" applyBorder="0" applyAlignment="0" applyProtection="0"/>
    <xf numFmtId="0" fontId="36" fillId="25" borderId="0" applyNumberFormat="0" applyBorder="0" applyAlignment="0" applyProtection="0"/>
    <xf numFmtId="0" fontId="37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83" fillId="40" borderId="0" applyNumberFormat="0" applyBorder="0" applyAlignment="0" applyProtection="0"/>
    <xf numFmtId="0" fontId="36" fillId="41" borderId="0" applyNumberFormat="0" applyBorder="0" applyAlignment="0" applyProtection="0"/>
    <xf numFmtId="0" fontId="37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193" fontId="0" fillId="0" borderId="9">
      <alignment/>
      <protection locked="0"/>
    </xf>
    <xf numFmtId="0" fontId="84" fillId="42" borderId="10" applyNumberFormat="0" applyAlignment="0" applyProtection="0"/>
    <xf numFmtId="0" fontId="39" fillId="9" borderId="11" applyNumberFormat="0" applyAlignment="0" applyProtection="0"/>
    <xf numFmtId="0" fontId="40" fillId="9" borderId="11" applyNumberFormat="0" applyAlignment="0" applyProtection="0"/>
    <xf numFmtId="0" fontId="39" fillId="9" borderId="11" applyNumberFormat="0" applyAlignment="0" applyProtection="0"/>
    <xf numFmtId="0" fontId="39" fillId="9" borderId="11" applyNumberFormat="0" applyAlignment="0" applyProtection="0"/>
    <xf numFmtId="0" fontId="39" fillId="9" borderId="11" applyNumberFormat="0" applyAlignment="0" applyProtection="0"/>
    <xf numFmtId="0" fontId="39" fillId="9" borderId="11" applyNumberFormat="0" applyAlignment="0" applyProtection="0"/>
    <xf numFmtId="0" fontId="39" fillId="9" borderId="11" applyNumberFormat="0" applyAlignment="0" applyProtection="0"/>
    <xf numFmtId="0" fontId="39" fillId="9" borderId="11" applyNumberFormat="0" applyAlignment="0" applyProtection="0"/>
    <xf numFmtId="0" fontId="39" fillId="9" borderId="11" applyNumberFormat="0" applyAlignment="0" applyProtection="0"/>
    <xf numFmtId="0" fontId="85" fillId="43" borderId="12" applyNumberFormat="0" applyAlignment="0" applyProtection="0"/>
    <xf numFmtId="0" fontId="41" fillId="28" borderId="13" applyNumberFormat="0" applyAlignment="0" applyProtection="0"/>
    <xf numFmtId="0" fontId="42" fillId="28" borderId="13" applyNumberFormat="0" applyAlignment="0" applyProtection="0"/>
    <xf numFmtId="0" fontId="41" fillId="28" borderId="13" applyNumberFormat="0" applyAlignment="0" applyProtection="0"/>
    <xf numFmtId="0" fontId="41" fillId="28" borderId="13" applyNumberFormat="0" applyAlignment="0" applyProtection="0"/>
    <xf numFmtId="0" fontId="41" fillId="28" borderId="13" applyNumberFormat="0" applyAlignment="0" applyProtection="0"/>
    <xf numFmtId="0" fontId="41" fillId="28" borderId="13" applyNumberFormat="0" applyAlignment="0" applyProtection="0"/>
    <xf numFmtId="0" fontId="41" fillId="28" borderId="13" applyNumberFormat="0" applyAlignment="0" applyProtection="0"/>
    <xf numFmtId="0" fontId="41" fillId="28" borderId="13" applyNumberFormat="0" applyAlignment="0" applyProtection="0"/>
    <xf numFmtId="0" fontId="41" fillId="28" borderId="13" applyNumberFormat="0" applyAlignment="0" applyProtection="0"/>
    <xf numFmtId="0" fontId="86" fillId="43" borderId="10" applyNumberFormat="0" applyAlignment="0" applyProtection="0"/>
    <xf numFmtId="0" fontId="43" fillId="28" borderId="11" applyNumberFormat="0" applyAlignment="0" applyProtection="0"/>
    <xf numFmtId="0" fontId="44" fillId="28" borderId="11" applyNumberFormat="0" applyAlignment="0" applyProtection="0"/>
    <xf numFmtId="0" fontId="43" fillId="28" borderId="11" applyNumberFormat="0" applyAlignment="0" applyProtection="0"/>
    <xf numFmtId="0" fontId="43" fillId="28" borderId="11" applyNumberFormat="0" applyAlignment="0" applyProtection="0"/>
    <xf numFmtId="0" fontId="43" fillId="28" borderId="11" applyNumberFormat="0" applyAlignment="0" applyProtection="0"/>
    <xf numFmtId="0" fontId="43" fillId="28" borderId="11" applyNumberFormat="0" applyAlignment="0" applyProtection="0"/>
    <xf numFmtId="0" fontId="43" fillId="28" borderId="11" applyNumberFormat="0" applyAlignment="0" applyProtection="0"/>
    <xf numFmtId="0" fontId="43" fillId="28" borderId="11" applyNumberFormat="0" applyAlignment="0" applyProtection="0"/>
    <xf numFmtId="0" fontId="43" fillId="28" borderId="11" applyNumberFormat="0" applyAlignment="0" applyProtection="0"/>
    <xf numFmtId="0" fontId="87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88" fillId="0" borderId="14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89" fillId="0" borderId="16" applyNumberFormat="0" applyFill="0" applyAlignment="0" applyProtection="0"/>
    <xf numFmtId="0" fontId="47" fillId="0" borderId="17" applyNumberFormat="0" applyFill="0" applyAlignment="0" applyProtection="0"/>
    <xf numFmtId="0" fontId="48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90" fillId="0" borderId="18" applyNumberFormat="0" applyFill="0" applyAlignment="0" applyProtection="0"/>
    <xf numFmtId="0" fontId="49" fillId="0" borderId="19" applyNumberFormat="0" applyFill="0" applyAlignment="0" applyProtection="0"/>
    <xf numFmtId="0" fontId="50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9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93" fontId="28" fillId="7" borderId="9">
      <alignment/>
      <protection/>
    </xf>
    <xf numFmtId="0" fontId="91" fillId="0" borderId="20" applyNumberFormat="0" applyFill="0" applyAlignment="0" applyProtection="0"/>
    <xf numFmtId="0" fontId="51" fillId="0" borderId="21" applyNumberFormat="0" applyFill="0" applyAlignment="0" applyProtection="0"/>
    <xf numFmtId="0" fontId="52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92" fillId="44" borderId="22" applyNumberFormat="0" applyAlignment="0" applyProtection="0"/>
    <xf numFmtId="0" fontId="53" fillId="45" borderId="23" applyNumberFormat="0" applyAlignment="0" applyProtection="0"/>
    <xf numFmtId="0" fontId="54" fillId="45" borderId="23" applyNumberFormat="0" applyAlignment="0" applyProtection="0"/>
    <xf numFmtId="0" fontId="53" fillId="45" borderId="23" applyNumberFormat="0" applyAlignment="0" applyProtection="0"/>
    <xf numFmtId="0" fontId="53" fillId="45" borderId="23" applyNumberFormat="0" applyAlignment="0" applyProtection="0"/>
    <xf numFmtId="0" fontId="53" fillId="45" borderId="23" applyNumberFormat="0" applyAlignment="0" applyProtection="0"/>
    <xf numFmtId="0" fontId="53" fillId="45" borderId="23" applyNumberFormat="0" applyAlignment="0" applyProtection="0"/>
    <xf numFmtId="0" fontId="53" fillId="45" borderId="23" applyNumberFormat="0" applyAlignment="0" applyProtection="0"/>
    <xf numFmtId="0" fontId="53" fillId="45" borderId="23" applyNumberFormat="0" applyAlignment="0" applyProtection="0"/>
    <xf numFmtId="0" fontId="53" fillId="45" borderId="23" applyNumberFormat="0" applyAlignment="0" applyProtection="0"/>
    <xf numFmtId="0" fontId="9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94" fillId="46" borderId="0" applyNumberFormat="0" applyBorder="0" applyAlignment="0" applyProtection="0"/>
    <xf numFmtId="0" fontId="56" fillId="47" borderId="0" applyNumberFormat="0" applyBorder="0" applyAlignment="0" applyProtection="0"/>
    <xf numFmtId="0" fontId="57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95" fillId="0" borderId="0" applyNumberFormat="0" applyFill="0" applyBorder="0" applyAlignment="0" applyProtection="0"/>
    <xf numFmtId="0" fontId="96" fillId="48" borderId="0" applyNumberFormat="0" applyBorder="0" applyAlignment="0" applyProtection="0"/>
    <xf numFmtId="0" fontId="58" fillId="3" borderId="0" applyNumberFormat="0" applyBorder="0" applyAlignment="0" applyProtection="0"/>
    <xf numFmtId="0" fontId="59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194" fontId="29" fillId="47" borderId="24" applyNumberFormat="0" applyBorder="0" applyAlignment="0">
      <protection locked="0"/>
    </xf>
    <xf numFmtId="0" fontId="9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49" borderId="25" applyNumberFormat="0" applyFont="0" applyAlignment="0" applyProtection="0"/>
    <xf numFmtId="0" fontId="0" fillId="50" borderId="26" applyNumberFormat="0" applyFont="0" applyAlignment="0" applyProtection="0"/>
    <xf numFmtId="0" fontId="35" fillId="50" borderId="26" applyNumberFormat="0" applyFont="0" applyAlignment="0" applyProtection="0"/>
    <xf numFmtId="0" fontId="35" fillId="50" borderId="26" applyNumberFormat="0" applyFont="0" applyAlignment="0" applyProtection="0"/>
    <xf numFmtId="0" fontId="35" fillId="50" borderId="26" applyNumberFormat="0" applyFont="0" applyAlignment="0" applyProtection="0"/>
    <xf numFmtId="0" fontId="35" fillId="50" borderId="26" applyNumberFormat="0" applyFont="0" applyAlignment="0" applyProtection="0"/>
    <xf numFmtId="0" fontId="35" fillId="50" borderId="26" applyNumberFormat="0" applyFont="0" applyAlignment="0" applyProtection="0"/>
    <xf numFmtId="0" fontId="35" fillId="50" borderId="26" applyNumberFormat="0" applyFont="0" applyAlignment="0" applyProtection="0"/>
    <xf numFmtId="0" fontId="35" fillId="50" borderId="26" applyNumberFormat="0" applyFont="0" applyAlignment="0" applyProtection="0"/>
    <xf numFmtId="0" fontId="35" fillId="50" borderId="2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8" fillId="0" borderId="27" applyNumberFormat="0" applyFill="0" applyAlignment="0" applyProtection="0"/>
    <xf numFmtId="0" fontId="62" fillId="0" borderId="28" applyNumberFormat="0" applyFill="0" applyAlignment="0" applyProtection="0"/>
    <xf numFmtId="0" fontId="63" fillId="0" borderId="28" applyNumberFormat="0" applyFill="0" applyAlignment="0" applyProtection="0"/>
    <xf numFmtId="0" fontId="62" fillId="0" borderId="28" applyNumberFormat="0" applyFill="0" applyAlignment="0" applyProtection="0"/>
    <xf numFmtId="0" fontId="62" fillId="0" borderId="28" applyNumberFormat="0" applyFill="0" applyAlignment="0" applyProtection="0"/>
    <xf numFmtId="0" fontId="62" fillId="0" borderId="28" applyNumberFormat="0" applyFill="0" applyAlignment="0" applyProtection="0"/>
    <xf numFmtId="0" fontId="62" fillId="0" borderId="28" applyNumberFormat="0" applyFill="0" applyAlignment="0" applyProtection="0"/>
    <xf numFmtId="0" fontId="62" fillId="0" borderId="28" applyNumberFormat="0" applyFill="0" applyAlignment="0" applyProtection="0"/>
    <xf numFmtId="0" fontId="62" fillId="0" borderId="28" applyNumberFormat="0" applyFill="0" applyAlignment="0" applyProtection="0"/>
    <xf numFmtId="0" fontId="62" fillId="0" borderId="28" applyNumberFormat="0" applyFill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3" fontId="30" fillId="0" borderId="29" applyFont="0" applyBorder="0">
      <alignment horizontal="right"/>
      <protection locked="0"/>
    </xf>
    <xf numFmtId="19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97" fontId="31" fillId="51" borderId="30">
      <alignment vertical="center"/>
      <protection/>
    </xf>
    <xf numFmtId="0" fontId="100" fillId="52" borderId="0" applyNumberFormat="0" applyBorder="0" applyAlignment="0" applyProtection="0"/>
    <xf numFmtId="0" fontId="66" fillId="4" borderId="0" applyNumberFormat="0" applyBorder="0" applyAlignment="0" applyProtection="0"/>
    <xf numFmtId="0" fontId="67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227">
    <xf numFmtId="0" fontId="0" fillId="0" borderId="0" xfId="0" applyAlignment="1">
      <alignment/>
    </xf>
    <xf numFmtId="0" fontId="82" fillId="0" borderId="0" xfId="791" applyAlignment="1">
      <alignment horizontal="center"/>
      <protection/>
    </xf>
    <xf numFmtId="0" fontId="68" fillId="0" borderId="0" xfId="791" applyFont="1" applyAlignment="1">
      <alignment/>
      <protection/>
    </xf>
    <xf numFmtId="0" fontId="82" fillId="0" borderId="0" xfId="791">
      <alignment/>
      <protection/>
    </xf>
    <xf numFmtId="0" fontId="3" fillId="0" borderId="6" xfId="791" applyFont="1" applyFill="1" applyBorder="1" applyAlignment="1">
      <alignment horizontal="center" vertical="center"/>
      <protection/>
    </xf>
    <xf numFmtId="0" fontId="3" fillId="0" borderId="31" xfId="791" applyFont="1" applyFill="1" applyBorder="1" applyAlignment="1">
      <alignment horizontal="center" vertical="center"/>
      <protection/>
    </xf>
    <xf numFmtId="0" fontId="27" fillId="0" borderId="6" xfId="794" applyFont="1" applyFill="1" applyBorder="1" applyAlignment="1">
      <alignment vertical="center"/>
      <protection/>
    </xf>
    <xf numFmtId="0" fontId="27" fillId="0" borderId="6" xfId="794" applyFont="1" applyFill="1" applyBorder="1" applyAlignment="1">
      <alignment/>
      <protection/>
    </xf>
    <xf numFmtId="0" fontId="82" fillId="0" borderId="0" xfId="791" applyFill="1">
      <alignment/>
      <protection/>
    </xf>
    <xf numFmtId="0" fontId="5" fillId="0" borderId="6" xfId="794" applyFont="1" applyFill="1" applyBorder="1" applyAlignment="1">
      <alignment horizontal="left" vertical="center"/>
      <protection/>
    </xf>
    <xf numFmtId="0" fontId="69" fillId="0" borderId="6" xfId="791" applyFont="1" applyBorder="1" applyAlignment="1">
      <alignment horizontal="center" vertical="center"/>
      <protection/>
    </xf>
    <xf numFmtId="0" fontId="27" fillId="45" borderId="6" xfId="794" applyFont="1" applyFill="1" applyBorder="1" applyAlignment="1">
      <alignment horizontal="right" vertical="center"/>
      <protection/>
    </xf>
    <xf numFmtId="0" fontId="3" fillId="0" borderId="6" xfId="794" applyFont="1" applyFill="1" applyBorder="1" applyAlignment="1">
      <alignment horizontal="left" vertical="center"/>
      <protection/>
    </xf>
    <xf numFmtId="0" fontId="27" fillId="47" borderId="6" xfId="794" applyFont="1" applyFill="1" applyBorder="1" applyAlignment="1">
      <alignment horizontal="right" vertical="center"/>
      <protection/>
    </xf>
    <xf numFmtId="0" fontId="82" fillId="47" borderId="6" xfId="791" applyFill="1" applyBorder="1" applyAlignment="1">
      <alignment horizontal="right" vertical="center"/>
      <protection/>
    </xf>
    <xf numFmtId="9" fontId="71" fillId="47" borderId="6" xfId="835" applyFont="1" applyFill="1" applyBorder="1" applyAlignment="1">
      <alignment horizontal="right" vertical="center"/>
    </xf>
    <xf numFmtId="9" fontId="33" fillId="45" borderId="6" xfId="835" applyFont="1" applyFill="1" applyBorder="1" applyAlignment="1">
      <alignment horizontal="right" vertical="center"/>
    </xf>
    <xf numFmtId="3" fontId="72" fillId="47" borderId="6" xfId="791" applyNumberFormat="1" applyFont="1" applyFill="1" applyBorder="1" applyAlignment="1">
      <alignment horizontal="right" vertical="center"/>
      <protection/>
    </xf>
    <xf numFmtId="0" fontId="73" fillId="0" borderId="6" xfId="794" applyFont="1" applyFill="1" applyBorder="1" applyAlignment="1">
      <alignment horizontal="left" vertical="center" wrapText="1"/>
      <protection/>
    </xf>
    <xf numFmtId="0" fontId="5" fillId="0" borderId="6" xfId="794" applyFont="1" applyFill="1" applyBorder="1" applyAlignment="1">
      <alignment horizontal="left" vertical="center" wrapText="1"/>
      <protection/>
    </xf>
    <xf numFmtId="0" fontId="33" fillId="0" borderId="6" xfId="794" applyFont="1" applyFill="1" applyBorder="1" applyAlignment="1">
      <alignment horizontal="left" vertical="center" wrapText="1"/>
      <protection/>
    </xf>
    <xf numFmtId="10" fontId="72" fillId="47" borderId="6" xfId="791" applyNumberFormat="1" applyFont="1" applyFill="1" applyBorder="1" applyAlignment="1">
      <alignment horizontal="right" vertical="center"/>
      <protection/>
    </xf>
    <xf numFmtId="0" fontId="3" fillId="0" borderId="6" xfId="791" applyFont="1" applyFill="1" applyBorder="1" applyAlignment="1">
      <alignment horizontal="center" vertical="center" wrapText="1"/>
      <protection/>
    </xf>
    <xf numFmtId="0" fontId="3" fillId="47" borderId="6" xfId="794" applyFont="1" applyFill="1" applyBorder="1" applyAlignment="1">
      <alignment horizontal="right" vertical="center" wrapText="1"/>
      <protection/>
    </xf>
    <xf numFmtId="0" fontId="69" fillId="0" borderId="6" xfId="791" applyFont="1" applyFill="1" applyBorder="1" applyAlignment="1">
      <alignment horizontal="center" vertical="center"/>
      <protection/>
    </xf>
    <xf numFmtId="3" fontId="74" fillId="45" borderId="6" xfId="791" applyNumberFormat="1" applyFont="1" applyFill="1" applyBorder="1" applyAlignment="1">
      <alignment horizontal="right" vertical="center"/>
      <protection/>
    </xf>
    <xf numFmtId="0" fontId="27" fillId="0" borderId="6" xfId="794" applyFont="1" applyFill="1" applyBorder="1" applyAlignment="1">
      <alignment horizontal="right" vertical="center"/>
      <protection/>
    </xf>
    <xf numFmtId="3" fontId="33" fillId="53" borderId="6" xfId="794" applyNumberFormat="1" applyFont="1" applyFill="1" applyBorder="1" applyAlignment="1">
      <alignment horizontal="left" vertical="center" wrapText="1"/>
      <protection/>
    </xf>
    <xf numFmtId="3" fontId="5" fillId="53" borderId="6" xfId="794" applyNumberFormat="1" applyFont="1" applyFill="1" applyBorder="1" applyAlignment="1">
      <alignment horizontal="left" vertical="center" shrinkToFit="1"/>
      <protection/>
    </xf>
    <xf numFmtId="3" fontId="5" fillId="53" borderId="6" xfId="794" applyNumberFormat="1" applyFont="1" applyFill="1" applyBorder="1" applyAlignment="1">
      <alignment horizontal="left" vertical="center" wrapText="1"/>
      <protection/>
    </xf>
    <xf numFmtId="3" fontId="33" fillId="0" borderId="6" xfId="794" applyNumberFormat="1" applyFont="1" applyFill="1" applyBorder="1" applyAlignment="1">
      <alignment horizontal="left" vertical="center" wrapText="1"/>
      <protection/>
    </xf>
    <xf numFmtId="0" fontId="75" fillId="0" borderId="6" xfId="791" applyFont="1" applyBorder="1" applyAlignment="1">
      <alignment horizontal="center" vertical="center"/>
      <protection/>
    </xf>
    <xf numFmtId="3" fontId="33" fillId="47" borderId="6" xfId="794" applyNumberFormat="1" applyFont="1" applyFill="1" applyBorder="1" applyAlignment="1">
      <alignment horizontal="right" vertical="center" wrapText="1"/>
      <protection/>
    </xf>
    <xf numFmtId="0" fontId="76" fillId="47" borderId="6" xfId="794" applyFont="1" applyFill="1" applyBorder="1" applyAlignment="1">
      <alignment horizontal="right" vertical="center" wrapText="1"/>
      <protection/>
    </xf>
    <xf numFmtId="3" fontId="78" fillId="0" borderId="6" xfId="794" applyNumberFormat="1" applyFont="1" applyFill="1" applyBorder="1" applyAlignment="1">
      <alignment horizontal="left" vertical="center"/>
      <protection/>
    </xf>
    <xf numFmtId="3" fontId="33" fillId="0" borderId="6" xfId="794" applyNumberFormat="1" applyFont="1" applyFill="1" applyBorder="1" applyAlignment="1">
      <alignment horizontal="left" vertical="center"/>
      <protection/>
    </xf>
    <xf numFmtId="0" fontId="33" fillId="0" borderId="6" xfId="794" applyFont="1" applyFill="1" applyBorder="1" applyAlignment="1">
      <alignment horizontal="left" vertical="center" shrinkToFit="1"/>
      <protection/>
    </xf>
    <xf numFmtId="0" fontId="27" fillId="0" borderId="6" xfId="794" applyFont="1" applyFill="1" applyBorder="1" applyAlignment="1">
      <alignment horizontal="left" vertical="center"/>
      <protection/>
    </xf>
    <xf numFmtId="3" fontId="72" fillId="0" borderId="6" xfId="791" applyNumberFormat="1" applyFont="1" applyFill="1" applyBorder="1" applyAlignment="1">
      <alignment horizontal="right" vertical="center"/>
      <protection/>
    </xf>
    <xf numFmtId="3" fontId="9" fillId="47" borderId="6" xfId="794" applyNumberFormat="1" applyFont="1" applyFill="1" applyBorder="1" applyAlignment="1">
      <alignment horizontal="right" vertical="center"/>
      <protection/>
    </xf>
    <xf numFmtId="1" fontId="5" fillId="0" borderId="6" xfId="794" applyNumberFormat="1" applyFont="1" applyFill="1" applyBorder="1" applyAlignment="1">
      <alignment horizontal="left" vertical="center"/>
      <protection/>
    </xf>
    <xf numFmtId="1" fontId="4" fillId="0" borderId="6" xfId="794" applyNumberFormat="1" applyFont="1" applyFill="1" applyBorder="1" applyAlignment="1">
      <alignment horizontal="center" vertical="center"/>
      <protection/>
    </xf>
    <xf numFmtId="3" fontId="3" fillId="0" borderId="6" xfId="795" applyNumberFormat="1" applyFont="1" applyFill="1" applyBorder="1" applyAlignment="1" applyProtection="1">
      <alignment horizontal="center" vertical="center"/>
      <protection/>
    </xf>
    <xf numFmtId="10" fontId="72" fillId="0" borderId="6" xfId="791" applyNumberFormat="1" applyFont="1" applyFill="1" applyBorder="1" applyAlignment="1">
      <alignment horizontal="right" vertical="center"/>
      <protection/>
    </xf>
    <xf numFmtId="3" fontId="33" fillId="0" borderId="6" xfId="795" applyNumberFormat="1" applyFont="1" applyFill="1" applyBorder="1" applyAlignment="1">
      <alignment vertical="center"/>
      <protection/>
    </xf>
    <xf numFmtId="3" fontId="33" fillId="0" borderId="6" xfId="795" applyNumberFormat="1" applyFont="1" applyFill="1" applyBorder="1" applyAlignment="1">
      <alignment horizontal="left" vertical="center"/>
      <protection/>
    </xf>
    <xf numFmtId="3" fontId="5" fillId="0" borderId="6" xfId="795" applyNumberFormat="1" applyFont="1" applyFill="1" applyBorder="1" applyAlignment="1">
      <alignment horizontal="left" vertical="center"/>
      <protection/>
    </xf>
    <xf numFmtId="0" fontId="5" fillId="0" borderId="6" xfId="794" applyFont="1" applyFill="1" applyBorder="1" applyAlignment="1">
      <alignment horizontal="left" vertical="center" shrinkToFit="1"/>
      <protection/>
    </xf>
    <xf numFmtId="0" fontId="33" fillId="0" borderId="6" xfId="794" applyFont="1" applyFill="1" applyBorder="1" applyAlignment="1">
      <alignment horizontal="left" vertical="center"/>
      <protection/>
    </xf>
    <xf numFmtId="0" fontId="2" fillId="0" borderId="6" xfId="791" applyNumberFormat="1" applyFont="1" applyFill="1" applyBorder="1" applyAlignment="1">
      <alignment horizontal="center" vertical="center" wrapText="1"/>
      <protection/>
    </xf>
    <xf numFmtId="3" fontId="74" fillId="4" borderId="6" xfId="0" applyNumberFormat="1" applyFont="1" applyFill="1" applyBorder="1" applyAlignment="1">
      <alignment/>
    </xf>
    <xf numFmtId="10" fontId="72" fillId="4" borderId="6" xfId="791" applyNumberFormat="1" applyFont="1" applyFill="1" applyBorder="1" applyAlignment="1">
      <alignment horizontal="right" vertical="center"/>
      <protection/>
    </xf>
    <xf numFmtId="3" fontId="72" fillId="4" borderId="6" xfId="791" applyNumberFormat="1" applyFont="1" applyFill="1" applyBorder="1" applyAlignment="1">
      <alignment horizontal="right" vertical="center"/>
      <protection/>
    </xf>
    <xf numFmtId="3" fontId="74" fillId="4" borderId="6" xfId="794" applyNumberFormat="1" applyFont="1" applyFill="1" applyBorder="1" applyAlignment="1">
      <alignment horizontal="right" vertical="center" wrapText="1"/>
      <protection/>
    </xf>
    <xf numFmtId="10" fontId="77" fillId="4" borderId="6" xfId="791" applyNumberFormat="1" applyFont="1" applyFill="1" applyBorder="1" applyAlignment="1">
      <alignment horizontal="right" vertical="center"/>
      <protection/>
    </xf>
    <xf numFmtId="3" fontId="77" fillId="4" borderId="6" xfId="791" applyNumberFormat="1" applyFont="1" applyFill="1" applyBorder="1" applyAlignment="1">
      <alignment horizontal="right" vertical="center"/>
      <protection/>
    </xf>
    <xf numFmtId="3" fontId="74" fillId="4" borderId="6" xfId="794" applyNumberFormat="1" applyFont="1" applyFill="1" applyBorder="1" applyAlignment="1">
      <alignment horizontal="right" vertical="center"/>
      <protection/>
    </xf>
    <xf numFmtId="169" fontId="77" fillId="4" borderId="6" xfId="791" applyNumberFormat="1" applyFont="1" applyFill="1" applyBorder="1" applyAlignment="1">
      <alignment horizontal="right" vertical="center"/>
      <protection/>
    </xf>
    <xf numFmtId="0" fontId="2" fillId="0" borderId="32" xfId="791" applyNumberFormat="1" applyFont="1" applyFill="1" applyBorder="1" applyAlignment="1">
      <alignment horizontal="center" vertical="center" wrapText="1"/>
      <protection/>
    </xf>
    <xf numFmtId="0" fontId="3" fillId="0" borderId="33" xfId="791" applyFont="1" applyFill="1" applyBorder="1" applyAlignment="1">
      <alignment horizontal="center" vertical="center"/>
      <protection/>
    </xf>
    <xf numFmtId="0" fontId="3" fillId="0" borderId="34" xfId="791" applyFont="1" applyFill="1" applyBorder="1" applyAlignment="1">
      <alignment horizontal="center" vertical="center"/>
      <protection/>
    </xf>
    <xf numFmtId="0" fontId="27" fillId="0" borderId="32" xfId="794" applyFont="1" applyFill="1" applyBorder="1" applyAlignment="1">
      <alignment/>
      <protection/>
    </xf>
    <xf numFmtId="0" fontId="27" fillId="0" borderId="34" xfId="794" applyFont="1" applyFill="1" applyBorder="1" applyAlignment="1">
      <alignment/>
      <protection/>
    </xf>
    <xf numFmtId="0" fontId="27" fillId="45" borderId="32" xfId="794" applyFont="1" applyFill="1" applyBorder="1" applyAlignment="1">
      <alignment horizontal="right" vertical="center"/>
      <protection/>
    </xf>
    <xf numFmtId="0" fontId="27" fillId="45" borderId="34" xfId="794" applyFont="1" applyFill="1" applyBorder="1" applyAlignment="1">
      <alignment horizontal="right" vertical="center"/>
      <protection/>
    </xf>
    <xf numFmtId="0" fontId="27" fillId="47" borderId="32" xfId="794" applyFont="1" applyFill="1" applyBorder="1" applyAlignment="1">
      <alignment horizontal="right" vertical="center"/>
      <protection/>
    </xf>
    <xf numFmtId="0" fontId="27" fillId="47" borderId="34" xfId="794" applyFont="1" applyFill="1" applyBorder="1" applyAlignment="1">
      <alignment horizontal="right" vertical="center"/>
      <protection/>
    </xf>
    <xf numFmtId="0" fontId="82" fillId="47" borderId="32" xfId="791" applyFill="1" applyBorder="1" applyAlignment="1">
      <alignment horizontal="right" vertical="center"/>
      <protection/>
    </xf>
    <xf numFmtId="0" fontId="82" fillId="47" borderId="34" xfId="791" applyFill="1" applyBorder="1" applyAlignment="1">
      <alignment horizontal="right" vertical="center"/>
      <protection/>
    </xf>
    <xf numFmtId="9" fontId="71" fillId="47" borderId="32" xfId="835" applyFont="1" applyFill="1" applyBorder="1" applyAlignment="1">
      <alignment horizontal="right" vertical="center"/>
    </xf>
    <xf numFmtId="9" fontId="71" fillId="47" borderId="34" xfId="835" applyFont="1" applyFill="1" applyBorder="1" applyAlignment="1">
      <alignment horizontal="right" vertical="center"/>
    </xf>
    <xf numFmtId="9" fontId="33" fillId="45" borderId="32" xfId="835" applyFont="1" applyFill="1" applyBorder="1" applyAlignment="1">
      <alignment horizontal="right" vertical="center"/>
    </xf>
    <xf numFmtId="9" fontId="33" fillId="45" borderId="34" xfId="835" applyFont="1" applyFill="1" applyBorder="1" applyAlignment="1">
      <alignment horizontal="right" vertical="center"/>
    </xf>
    <xf numFmtId="3" fontId="72" fillId="47" borderId="32" xfId="791" applyNumberFormat="1" applyFont="1" applyFill="1" applyBorder="1" applyAlignment="1">
      <alignment horizontal="right" vertical="center"/>
      <protection/>
    </xf>
    <xf numFmtId="3" fontId="72" fillId="47" borderId="34" xfId="791" applyNumberFormat="1" applyFont="1" applyFill="1" applyBorder="1" applyAlignment="1">
      <alignment horizontal="right" vertical="center"/>
      <protection/>
    </xf>
    <xf numFmtId="10" fontId="72" fillId="47" borderId="32" xfId="791" applyNumberFormat="1" applyFont="1" applyFill="1" applyBorder="1" applyAlignment="1">
      <alignment horizontal="right" vertical="center"/>
      <protection/>
    </xf>
    <xf numFmtId="10" fontId="72" fillId="47" borderId="34" xfId="791" applyNumberFormat="1" applyFont="1" applyFill="1" applyBorder="1" applyAlignment="1">
      <alignment horizontal="right" vertical="center"/>
      <protection/>
    </xf>
    <xf numFmtId="0" fontId="3" fillId="47" borderId="32" xfId="794" applyFont="1" applyFill="1" applyBorder="1" applyAlignment="1">
      <alignment horizontal="right" vertical="center" wrapText="1"/>
      <protection/>
    </xf>
    <xf numFmtId="0" fontId="3" fillId="47" borderId="34" xfId="794" applyFont="1" applyFill="1" applyBorder="1" applyAlignment="1">
      <alignment horizontal="right" vertical="center" wrapText="1"/>
      <protection/>
    </xf>
    <xf numFmtId="3" fontId="74" fillId="45" borderId="32" xfId="791" applyNumberFormat="1" applyFont="1" applyFill="1" applyBorder="1" applyAlignment="1">
      <alignment horizontal="right" vertical="center"/>
      <protection/>
    </xf>
    <xf numFmtId="3" fontId="74" fillId="45" borderId="34" xfId="791" applyNumberFormat="1" applyFont="1" applyFill="1" applyBorder="1" applyAlignment="1">
      <alignment horizontal="right" vertical="center"/>
      <protection/>
    </xf>
    <xf numFmtId="0" fontId="27" fillId="0" borderId="32" xfId="794" applyFont="1" applyFill="1" applyBorder="1" applyAlignment="1">
      <alignment horizontal="right" vertical="center"/>
      <protection/>
    </xf>
    <xf numFmtId="0" fontId="27" fillId="0" borderId="34" xfId="794" applyFont="1" applyFill="1" applyBorder="1" applyAlignment="1">
      <alignment horizontal="right" vertical="center"/>
      <protection/>
    </xf>
    <xf numFmtId="3" fontId="72" fillId="4" borderId="34" xfId="791" applyNumberFormat="1" applyFont="1" applyFill="1" applyBorder="1" applyAlignment="1">
      <alignment horizontal="right" vertical="center"/>
      <protection/>
    </xf>
    <xf numFmtId="3" fontId="72" fillId="4" borderId="32" xfId="791" applyNumberFormat="1" applyFont="1" applyFill="1" applyBorder="1" applyAlignment="1">
      <alignment horizontal="right" vertical="center"/>
      <protection/>
    </xf>
    <xf numFmtId="10" fontId="72" fillId="4" borderId="32" xfId="791" applyNumberFormat="1" applyFont="1" applyFill="1" applyBorder="1" applyAlignment="1">
      <alignment horizontal="right" vertical="center"/>
      <protection/>
    </xf>
    <xf numFmtId="10" fontId="72" fillId="4" borderId="34" xfId="791" applyNumberFormat="1" applyFont="1" applyFill="1" applyBorder="1" applyAlignment="1">
      <alignment horizontal="right" vertical="center"/>
      <protection/>
    </xf>
    <xf numFmtId="10" fontId="77" fillId="4" borderId="32" xfId="791" applyNumberFormat="1" applyFont="1" applyFill="1" applyBorder="1" applyAlignment="1">
      <alignment horizontal="right" vertical="center"/>
      <protection/>
    </xf>
    <xf numFmtId="3" fontId="74" fillId="4" borderId="32" xfId="794" applyNumberFormat="1" applyFont="1" applyFill="1" applyBorder="1" applyAlignment="1">
      <alignment horizontal="right" vertical="center"/>
      <protection/>
    </xf>
    <xf numFmtId="3" fontId="72" fillId="0" borderId="32" xfId="791" applyNumberFormat="1" applyFont="1" applyFill="1" applyBorder="1" applyAlignment="1">
      <alignment horizontal="right" vertical="center"/>
      <protection/>
    </xf>
    <xf numFmtId="3" fontId="72" fillId="0" borderId="34" xfId="791" applyNumberFormat="1" applyFont="1" applyFill="1" applyBorder="1" applyAlignment="1">
      <alignment horizontal="right" vertical="center"/>
      <protection/>
    </xf>
    <xf numFmtId="169" fontId="77" fillId="4" borderId="32" xfId="791" applyNumberFormat="1" applyFont="1" applyFill="1" applyBorder="1" applyAlignment="1">
      <alignment horizontal="right" vertical="center"/>
      <protection/>
    </xf>
    <xf numFmtId="3" fontId="77" fillId="4" borderId="32" xfId="791" applyNumberFormat="1" applyFont="1" applyFill="1" applyBorder="1" applyAlignment="1">
      <alignment horizontal="right" vertical="center"/>
      <protection/>
    </xf>
    <xf numFmtId="10" fontId="72" fillId="0" borderId="32" xfId="791" applyNumberFormat="1" applyFont="1" applyFill="1" applyBorder="1" applyAlignment="1">
      <alignment horizontal="right" vertical="center"/>
      <protection/>
    </xf>
    <xf numFmtId="10" fontId="72" fillId="0" borderId="34" xfId="791" applyNumberFormat="1" applyFont="1" applyFill="1" applyBorder="1" applyAlignment="1">
      <alignment horizontal="right" vertical="center"/>
      <protection/>
    </xf>
    <xf numFmtId="0" fontId="82" fillId="47" borderId="35" xfId="791" applyFill="1" applyBorder="1" applyAlignment="1">
      <alignment horizontal="right" vertical="center"/>
      <protection/>
    </xf>
    <xf numFmtId="0" fontId="3" fillId="0" borderId="32" xfId="791" applyFont="1" applyFill="1" applyBorder="1" applyAlignment="1">
      <alignment horizontal="center" vertical="center"/>
      <protection/>
    </xf>
    <xf numFmtId="0" fontId="82" fillId="0" borderId="32" xfId="791" applyFill="1" applyBorder="1" applyAlignment="1">
      <alignment horizontal="center"/>
      <protection/>
    </xf>
    <xf numFmtId="49" fontId="70" fillId="0" borderId="32" xfId="791" applyNumberFormat="1" applyFont="1" applyBorder="1" applyAlignment="1">
      <alignment horizontal="center"/>
      <protection/>
    </xf>
    <xf numFmtId="0" fontId="82" fillId="0" borderId="32" xfId="791" applyBorder="1" applyAlignment="1">
      <alignment horizontal="center"/>
      <protection/>
    </xf>
    <xf numFmtId="49" fontId="70" fillId="0" borderId="36" xfId="791" applyNumberFormat="1" applyFont="1" applyBorder="1" applyAlignment="1">
      <alignment horizontal="center"/>
      <protection/>
    </xf>
    <xf numFmtId="3" fontId="5" fillId="0" borderId="35" xfId="795" applyNumberFormat="1" applyFont="1" applyFill="1" applyBorder="1" applyAlignment="1">
      <alignment horizontal="left" vertical="center"/>
      <protection/>
    </xf>
    <xf numFmtId="0" fontId="69" fillId="0" borderId="35" xfId="791" applyFont="1" applyBorder="1" applyAlignment="1">
      <alignment horizontal="center" vertical="center"/>
      <protection/>
    </xf>
    <xf numFmtId="10" fontId="72" fillId="4" borderId="37" xfId="791" applyNumberFormat="1" applyFont="1" applyFill="1" applyBorder="1" applyAlignment="1">
      <alignment horizontal="right" vertical="center"/>
      <protection/>
    </xf>
    <xf numFmtId="3" fontId="72" fillId="4" borderId="35" xfId="791" applyNumberFormat="1" applyFont="1" applyFill="1" applyBorder="1" applyAlignment="1">
      <alignment horizontal="right" vertical="center"/>
      <protection/>
    </xf>
    <xf numFmtId="0" fontId="27" fillId="0" borderId="38" xfId="794" applyFont="1" applyFill="1" applyBorder="1" applyAlignment="1">
      <alignment horizontal="right" vertical="center"/>
      <protection/>
    </xf>
    <xf numFmtId="3" fontId="74" fillId="4" borderId="6" xfId="0" applyNumberFormat="1" applyFont="1" applyFill="1" applyBorder="1" applyAlignment="1">
      <alignment horizontal="right" vertical="center"/>
    </xf>
    <xf numFmtId="3" fontId="72" fillId="4" borderId="36" xfId="791" applyNumberFormat="1" applyFont="1" applyFill="1" applyBorder="1" applyAlignment="1">
      <alignment horizontal="right" vertical="center"/>
      <protection/>
    </xf>
    <xf numFmtId="3" fontId="74" fillId="4" borderId="35" xfId="0" applyNumberFormat="1" applyFont="1" applyFill="1" applyBorder="1" applyAlignment="1">
      <alignment horizontal="right" vertical="center"/>
    </xf>
    <xf numFmtId="168" fontId="72" fillId="4" borderId="6" xfId="791" applyNumberFormat="1" applyFont="1" applyFill="1" applyBorder="1" applyAlignment="1">
      <alignment horizontal="right" vertical="center"/>
      <protection/>
    </xf>
    <xf numFmtId="168" fontId="74" fillId="4" borderId="6" xfId="794" applyNumberFormat="1" applyFont="1" applyFill="1" applyBorder="1" applyAlignment="1">
      <alignment horizontal="right" vertical="center" wrapText="1"/>
      <protection/>
    </xf>
    <xf numFmtId="168" fontId="74" fillId="4" borderId="6" xfId="794" applyNumberFormat="1" applyFont="1" applyFill="1" applyBorder="1" applyAlignment="1">
      <alignment horizontal="right" vertical="center"/>
      <protection/>
    </xf>
    <xf numFmtId="168" fontId="72" fillId="4" borderId="35" xfId="791" applyNumberFormat="1" applyFont="1" applyFill="1" applyBorder="1" applyAlignment="1">
      <alignment horizontal="right" vertical="center"/>
      <protection/>
    </xf>
    <xf numFmtId="168" fontId="72" fillId="4" borderId="34" xfId="791" applyNumberFormat="1" applyFont="1" applyFill="1" applyBorder="1" applyAlignment="1">
      <alignment horizontal="right" vertical="center"/>
      <protection/>
    </xf>
    <xf numFmtId="168" fontId="74" fillId="4" borderId="34" xfId="794" applyNumberFormat="1" applyFont="1" applyFill="1" applyBorder="1" applyAlignment="1">
      <alignment horizontal="right" vertical="center" wrapText="1"/>
      <protection/>
    </xf>
    <xf numFmtId="168" fontId="74" fillId="4" borderId="34" xfId="794" applyNumberFormat="1" applyFont="1" applyFill="1" applyBorder="1" applyAlignment="1">
      <alignment horizontal="right" vertical="center"/>
      <protection/>
    </xf>
    <xf numFmtId="168" fontId="72" fillId="4" borderId="39" xfId="791" applyNumberFormat="1" applyFont="1" applyFill="1" applyBorder="1" applyAlignment="1">
      <alignment horizontal="right" vertical="center"/>
      <protection/>
    </xf>
    <xf numFmtId="1" fontId="72" fillId="47" borderId="6" xfId="791" applyNumberFormat="1" applyFont="1" applyFill="1" applyBorder="1" applyAlignment="1">
      <alignment horizontal="right" vertical="center"/>
      <protection/>
    </xf>
    <xf numFmtId="3" fontId="72" fillId="54" borderId="6" xfId="791" applyNumberFormat="1" applyFont="1" applyFill="1" applyBorder="1" applyAlignment="1">
      <alignment horizontal="right" vertical="center"/>
      <protection/>
    </xf>
    <xf numFmtId="3" fontId="82" fillId="0" borderId="0" xfId="791" applyNumberFormat="1">
      <alignment/>
      <protection/>
    </xf>
    <xf numFmtId="203" fontId="72" fillId="4" borderId="6" xfId="791" applyNumberFormat="1" applyFont="1" applyFill="1" applyBorder="1" applyAlignment="1">
      <alignment horizontal="right" vertical="center"/>
      <protection/>
    </xf>
    <xf numFmtId="203" fontId="72" fillId="47" borderId="6" xfId="791" applyNumberFormat="1" applyFont="1" applyFill="1" applyBorder="1" applyAlignment="1">
      <alignment horizontal="right" vertical="center"/>
      <protection/>
    </xf>
    <xf numFmtId="169" fontId="72" fillId="4" borderId="6" xfId="791" applyNumberFormat="1" applyFont="1" applyFill="1" applyBorder="1" applyAlignment="1">
      <alignment horizontal="right" vertical="center"/>
      <protection/>
    </xf>
    <xf numFmtId="213" fontId="72" fillId="47" borderId="6" xfId="791" applyNumberFormat="1" applyFont="1" applyFill="1" applyBorder="1" applyAlignment="1">
      <alignment horizontal="right" vertical="center"/>
      <protection/>
    </xf>
    <xf numFmtId="209" fontId="72" fillId="47" borderId="6" xfId="791" applyNumberFormat="1" applyFont="1" applyFill="1" applyBorder="1" applyAlignment="1">
      <alignment horizontal="right" vertical="center"/>
      <protection/>
    </xf>
    <xf numFmtId="49" fontId="70" fillId="55" borderId="32" xfId="791" applyNumberFormat="1" applyFont="1" applyFill="1" applyBorder="1" applyAlignment="1">
      <alignment horizontal="center"/>
      <protection/>
    </xf>
    <xf numFmtId="0" fontId="3" fillId="55" borderId="6" xfId="794" applyFont="1" applyFill="1" applyBorder="1" applyAlignment="1">
      <alignment horizontal="left" vertical="center"/>
      <protection/>
    </xf>
    <xf numFmtId="0" fontId="69" fillId="55" borderId="6" xfId="791" applyFont="1" applyFill="1" applyBorder="1" applyAlignment="1">
      <alignment horizontal="center" vertical="center"/>
      <protection/>
    </xf>
    <xf numFmtId="3" fontId="72" fillId="55" borderId="6" xfId="791" applyNumberFormat="1" applyFont="1" applyFill="1" applyBorder="1" applyAlignment="1">
      <alignment horizontal="right" vertical="center"/>
      <protection/>
    </xf>
    <xf numFmtId="3" fontId="72" fillId="55" borderId="32" xfId="791" applyNumberFormat="1" applyFont="1" applyFill="1" applyBorder="1" applyAlignment="1">
      <alignment horizontal="right" vertical="center"/>
      <protection/>
    </xf>
    <xf numFmtId="168" fontId="72" fillId="55" borderId="34" xfId="791" applyNumberFormat="1" applyFont="1" applyFill="1" applyBorder="1" applyAlignment="1">
      <alignment horizontal="right" vertical="center"/>
      <protection/>
    </xf>
    <xf numFmtId="10" fontId="82" fillId="55" borderId="0" xfId="791" applyNumberFormat="1" applyFill="1">
      <alignment/>
      <protection/>
    </xf>
    <xf numFmtId="0" fontId="82" fillId="55" borderId="0" xfId="791" applyFill="1">
      <alignment/>
      <protection/>
    </xf>
    <xf numFmtId="203" fontId="72" fillId="54" borderId="6" xfId="791" applyNumberFormat="1" applyFont="1" applyFill="1" applyBorder="1" applyAlignment="1">
      <alignment horizontal="right" vertical="center"/>
      <protection/>
    </xf>
    <xf numFmtId="3" fontId="72" fillId="56" borderId="6" xfId="791" applyNumberFormat="1" applyFont="1" applyFill="1" applyBorder="1" applyAlignment="1">
      <alignment horizontal="right" vertical="center"/>
      <protection/>
    </xf>
    <xf numFmtId="168" fontId="72" fillId="56" borderId="6" xfId="791" applyNumberFormat="1" applyFont="1" applyFill="1" applyBorder="1" applyAlignment="1">
      <alignment horizontal="right" vertical="center"/>
      <protection/>
    </xf>
    <xf numFmtId="209" fontId="72" fillId="4" borderId="6" xfId="791" applyNumberFormat="1" applyFont="1" applyFill="1" applyBorder="1" applyAlignment="1">
      <alignment horizontal="right" vertical="center"/>
      <protection/>
    </xf>
    <xf numFmtId="0" fontId="2" fillId="0" borderId="40" xfId="791" applyNumberFormat="1" applyFont="1" applyFill="1" applyBorder="1" applyAlignment="1">
      <alignment horizontal="center" vertical="center" wrapText="1"/>
      <protection/>
    </xf>
    <xf numFmtId="200" fontId="72" fillId="47" borderId="6" xfId="791" applyNumberFormat="1" applyFont="1" applyFill="1" applyBorder="1" applyAlignment="1">
      <alignment horizontal="right" vertical="center"/>
      <protection/>
    </xf>
    <xf numFmtId="200" fontId="72" fillId="54" borderId="6" xfId="791" applyNumberFormat="1" applyFont="1" applyFill="1" applyBorder="1" applyAlignment="1">
      <alignment horizontal="right" vertical="center"/>
      <protection/>
    </xf>
    <xf numFmtId="203" fontId="101" fillId="54" borderId="6" xfId="0" applyNumberFormat="1" applyFont="1" applyFill="1" applyBorder="1" applyAlignment="1">
      <alignment/>
    </xf>
    <xf numFmtId="4" fontId="72" fillId="47" borderId="6" xfId="791" applyNumberFormat="1" applyFont="1" applyFill="1" applyBorder="1" applyAlignment="1">
      <alignment horizontal="right" vertical="center"/>
      <protection/>
    </xf>
    <xf numFmtId="3" fontId="74" fillId="4" borderId="6" xfId="0" applyNumberFormat="1" applyFont="1" applyFill="1" applyBorder="1" applyAlignment="1">
      <alignment vertical="center"/>
    </xf>
    <xf numFmtId="3" fontId="74" fillId="56" borderId="6" xfId="0" applyNumberFormat="1" applyFont="1" applyFill="1" applyBorder="1" applyAlignment="1">
      <alignment vertical="center"/>
    </xf>
    <xf numFmtId="210" fontId="72" fillId="47" borderId="6" xfId="791" applyNumberFormat="1" applyFont="1" applyFill="1" applyBorder="1" applyAlignment="1">
      <alignment horizontal="right" vertical="center"/>
      <protection/>
    </xf>
    <xf numFmtId="203" fontId="74" fillId="4" borderId="6" xfId="0" applyNumberFormat="1" applyFont="1" applyFill="1" applyBorder="1" applyAlignment="1">
      <alignment vertical="center"/>
    </xf>
    <xf numFmtId="203" fontId="74" fillId="56" borderId="6" xfId="0" applyNumberFormat="1" applyFont="1" applyFill="1" applyBorder="1" applyAlignment="1">
      <alignment vertical="center"/>
    </xf>
    <xf numFmtId="4" fontId="82" fillId="0" borderId="0" xfId="791" applyNumberFormat="1">
      <alignment/>
      <protection/>
    </xf>
    <xf numFmtId="168" fontId="72" fillId="4" borderId="40" xfId="791" applyNumberFormat="1" applyFont="1" applyFill="1" applyBorder="1" applyAlignment="1">
      <alignment horizontal="right" vertical="center"/>
      <protection/>
    </xf>
    <xf numFmtId="203" fontId="72" fillId="4" borderId="0" xfId="791" applyNumberFormat="1" applyFont="1" applyFill="1" applyBorder="1" applyAlignment="1">
      <alignment horizontal="right" vertical="center"/>
      <protection/>
    </xf>
    <xf numFmtId="209" fontId="72" fillId="54" borderId="6" xfId="791" applyNumberFormat="1" applyFont="1" applyFill="1" applyBorder="1" applyAlignment="1">
      <alignment horizontal="right" vertical="center"/>
      <protection/>
    </xf>
    <xf numFmtId="0" fontId="27" fillId="0" borderId="31" xfId="794" applyFont="1" applyFill="1" applyBorder="1" applyAlignment="1">
      <alignment horizontal="right" vertical="center"/>
      <protection/>
    </xf>
    <xf numFmtId="4" fontId="72" fillId="4" borderId="6" xfId="791" applyNumberFormat="1" applyFont="1" applyFill="1" applyBorder="1" applyAlignment="1">
      <alignment horizontal="right" vertical="center"/>
      <protection/>
    </xf>
    <xf numFmtId="203" fontId="72" fillId="56" borderId="6" xfId="791" applyNumberFormat="1" applyFont="1" applyFill="1" applyBorder="1" applyAlignment="1">
      <alignment horizontal="right" vertical="center"/>
      <protection/>
    </xf>
    <xf numFmtId="3" fontId="76" fillId="47" borderId="6" xfId="794" applyNumberFormat="1" applyFont="1" applyFill="1" applyBorder="1" applyAlignment="1">
      <alignment horizontal="right" vertical="center" wrapText="1"/>
      <protection/>
    </xf>
    <xf numFmtId="4" fontId="72" fillId="54" borderId="6" xfId="791" applyNumberFormat="1" applyFont="1" applyFill="1" applyBorder="1" applyAlignment="1">
      <alignment horizontal="right" vertical="center"/>
      <protection/>
    </xf>
    <xf numFmtId="3" fontId="74" fillId="47" borderId="6" xfId="794" applyNumberFormat="1" applyFont="1" applyFill="1" applyBorder="1" applyAlignment="1">
      <alignment horizontal="right" vertical="center" wrapText="1"/>
      <protection/>
    </xf>
    <xf numFmtId="0" fontId="81" fillId="47" borderId="6" xfId="794" applyFont="1" applyFill="1" applyBorder="1" applyAlignment="1">
      <alignment horizontal="right" vertical="center" wrapText="1"/>
      <protection/>
    </xf>
    <xf numFmtId="205" fontId="72" fillId="4" borderId="6" xfId="791" applyNumberFormat="1" applyFont="1" applyFill="1" applyBorder="1" applyAlignment="1">
      <alignment horizontal="right" vertical="center"/>
      <protection/>
    </xf>
    <xf numFmtId="216" fontId="74" fillId="54" borderId="41" xfId="497" applyNumberFormat="1" applyFont="1" applyFill="1" applyBorder="1" applyAlignment="1" applyProtection="1">
      <alignment vertical="center"/>
      <protection locked="0"/>
    </xf>
    <xf numFmtId="1" fontId="72" fillId="4" borderId="6" xfId="791" applyNumberFormat="1" applyFont="1" applyFill="1" applyBorder="1" applyAlignment="1">
      <alignment horizontal="right" vertical="center"/>
      <protection/>
    </xf>
    <xf numFmtId="1" fontId="74" fillId="4" borderId="6" xfId="0" applyNumberFormat="1" applyFont="1" applyFill="1" applyBorder="1" applyAlignment="1">
      <alignment vertical="center"/>
    </xf>
    <xf numFmtId="205" fontId="72" fillId="47" borderId="6" xfId="791" applyNumberFormat="1" applyFont="1" applyFill="1" applyBorder="1" applyAlignment="1">
      <alignment horizontal="right" vertical="center"/>
      <protection/>
    </xf>
    <xf numFmtId="205" fontId="72" fillId="54" borderId="6" xfId="791" applyNumberFormat="1" applyFont="1" applyFill="1" applyBorder="1" applyAlignment="1">
      <alignment horizontal="right" vertical="center"/>
      <protection/>
    </xf>
    <xf numFmtId="219" fontId="80" fillId="4" borderId="6" xfId="791" applyNumberFormat="1" applyFont="1" applyFill="1" applyBorder="1" applyAlignment="1">
      <alignment horizontal="right" vertical="center"/>
      <protection/>
    </xf>
    <xf numFmtId="213" fontId="77" fillId="4" borderId="6" xfId="791" applyNumberFormat="1" applyFont="1" applyFill="1" applyBorder="1" applyAlignment="1">
      <alignment horizontal="right" vertical="center"/>
      <protection/>
    </xf>
    <xf numFmtId="10" fontId="74" fillId="54" borderId="41" xfId="497" applyNumberFormat="1" applyFont="1" applyFill="1" applyBorder="1" applyAlignment="1" applyProtection="1">
      <alignment vertical="center"/>
      <protection locked="0"/>
    </xf>
    <xf numFmtId="4" fontId="2" fillId="0" borderId="6" xfId="791" applyNumberFormat="1" applyFont="1" applyFill="1" applyBorder="1" applyAlignment="1">
      <alignment horizontal="center" vertical="center" wrapText="1"/>
      <protection/>
    </xf>
    <xf numFmtId="4" fontId="3" fillId="0" borderId="6" xfId="791" applyNumberFormat="1" applyFont="1" applyFill="1" applyBorder="1" applyAlignment="1">
      <alignment horizontal="center" vertical="center"/>
      <protection/>
    </xf>
    <xf numFmtId="4" fontId="27" fillId="0" borderId="6" xfId="794" applyNumberFormat="1" applyFont="1" applyFill="1" applyBorder="1" applyAlignment="1">
      <alignment/>
      <protection/>
    </xf>
    <xf numFmtId="4" fontId="27" fillId="45" borderId="6" xfId="794" applyNumberFormat="1" applyFont="1" applyFill="1" applyBorder="1" applyAlignment="1">
      <alignment horizontal="right" vertical="center"/>
      <protection/>
    </xf>
    <xf numFmtId="4" fontId="27" fillId="47" borderId="6" xfId="794" applyNumberFormat="1" applyFont="1" applyFill="1" applyBorder="1" applyAlignment="1">
      <alignment horizontal="right" vertical="center"/>
      <protection/>
    </xf>
    <xf numFmtId="4" fontId="82" fillId="47" borderId="6" xfId="791" applyNumberFormat="1" applyFill="1" applyBorder="1" applyAlignment="1">
      <alignment horizontal="right" vertical="center"/>
      <protection/>
    </xf>
    <xf numFmtId="4" fontId="71" fillId="47" borderId="6" xfId="835" applyNumberFormat="1" applyFont="1" applyFill="1" applyBorder="1" applyAlignment="1">
      <alignment horizontal="right" vertical="center"/>
    </xf>
    <xf numFmtId="4" fontId="33" fillId="45" borderId="6" xfId="835" applyNumberFormat="1" applyFont="1" applyFill="1" applyBorder="1" applyAlignment="1">
      <alignment horizontal="right" vertical="center"/>
    </xf>
    <xf numFmtId="4" fontId="3" fillId="47" borderId="6" xfId="794" applyNumberFormat="1" applyFont="1" applyFill="1" applyBorder="1" applyAlignment="1">
      <alignment horizontal="right" vertical="center" wrapText="1"/>
      <protection/>
    </xf>
    <xf numFmtId="4" fontId="74" fillId="45" borderId="6" xfId="791" applyNumberFormat="1" applyFont="1" applyFill="1" applyBorder="1" applyAlignment="1">
      <alignment horizontal="right" vertical="center"/>
      <protection/>
    </xf>
    <xf numFmtId="4" fontId="27" fillId="0" borderId="6" xfId="794" applyNumberFormat="1" applyFont="1" applyFill="1" applyBorder="1" applyAlignment="1">
      <alignment horizontal="right" vertical="center"/>
      <protection/>
    </xf>
    <xf numFmtId="4" fontId="33" fillId="47" borderId="6" xfId="794" applyNumberFormat="1" applyFont="1" applyFill="1" applyBorder="1" applyAlignment="1">
      <alignment horizontal="right" vertical="center" wrapText="1"/>
      <protection/>
    </xf>
    <xf numFmtId="4" fontId="76" fillId="47" borderId="6" xfId="794" applyNumberFormat="1" applyFont="1" applyFill="1" applyBorder="1" applyAlignment="1">
      <alignment horizontal="right" vertical="center" wrapText="1"/>
      <protection/>
    </xf>
    <xf numFmtId="4" fontId="77" fillId="4" borderId="6" xfId="791" applyNumberFormat="1" applyFont="1" applyFill="1" applyBorder="1" applyAlignment="1">
      <alignment horizontal="right" vertical="center"/>
      <protection/>
    </xf>
    <xf numFmtId="4" fontId="74" fillId="4" borderId="6" xfId="794" applyNumberFormat="1" applyFont="1" applyFill="1" applyBorder="1" applyAlignment="1">
      <alignment horizontal="right" vertical="center"/>
      <protection/>
    </xf>
    <xf numFmtId="4" fontId="72" fillId="0" borderId="6" xfId="791" applyNumberFormat="1" applyFont="1" applyFill="1" applyBorder="1" applyAlignment="1">
      <alignment horizontal="right" vertical="center"/>
      <protection/>
    </xf>
    <xf numFmtId="4" fontId="9" fillId="47" borderId="6" xfId="794" applyNumberFormat="1" applyFont="1" applyFill="1" applyBorder="1" applyAlignment="1">
      <alignment horizontal="right" vertical="center"/>
      <protection/>
    </xf>
    <xf numFmtId="4" fontId="82" fillId="47" borderId="35" xfId="791" applyNumberFormat="1" applyFill="1" applyBorder="1" applyAlignment="1">
      <alignment horizontal="right" vertical="center"/>
      <protection/>
    </xf>
    <xf numFmtId="10" fontId="80" fillId="4" borderId="6" xfId="791" applyNumberFormat="1" applyFont="1" applyFill="1" applyBorder="1" applyAlignment="1">
      <alignment horizontal="right" vertical="center"/>
      <protection/>
    </xf>
    <xf numFmtId="203" fontId="74" fillId="47" borderId="6" xfId="791" applyNumberFormat="1" applyFont="1" applyFill="1" applyBorder="1" applyAlignment="1">
      <alignment horizontal="right" vertical="center"/>
      <protection/>
    </xf>
    <xf numFmtId="203" fontId="74" fillId="54" borderId="41" xfId="497" applyNumberFormat="1" applyFont="1" applyFill="1" applyBorder="1" applyAlignment="1" applyProtection="1">
      <alignment vertical="center"/>
      <protection locked="0"/>
    </xf>
    <xf numFmtId="203" fontId="101" fillId="54" borderId="41" xfId="497" applyNumberFormat="1" applyFont="1" applyFill="1" applyBorder="1" applyAlignment="1" applyProtection="1">
      <alignment vertical="center"/>
      <protection locked="0"/>
    </xf>
    <xf numFmtId="10" fontId="74" fillId="54" borderId="6" xfId="0" applyNumberFormat="1" applyFont="1" applyFill="1" applyBorder="1" applyAlignment="1">
      <alignment/>
    </xf>
    <xf numFmtId="3" fontId="74" fillId="54" borderId="41" xfId="497" applyNumberFormat="1" applyFont="1" applyFill="1" applyBorder="1" applyAlignment="1" applyProtection="1">
      <alignment vertical="center"/>
      <protection locked="0"/>
    </xf>
    <xf numFmtId="0" fontId="9" fillId="0" borderId="6" xfId="794" applyFont="1" applyFill="1" applyBorder="1" applyAlignment="1">
      <alignment horizontal="right" vertical="center"/>
      <protection/>
    </xf>
    <xf numFmtId="0" fontId="101" fillId="47" borderId="6" xfId="791" applyFont="1" applyFill="1" applyBorder="1" applyAlignment="1">
      <alignment horizontal="right" vertical="center"/>
      <protection/>
    </xf>
    <xf numFmtId="0" fontId="101" fillId="47" borderId="35" xfId="791" applyFont="1" applyFill="1" applyBorder="1" applyAlignment="1">
      <alignment horizontal="right" vertical="center"/>
      <protection/>
    </xf>
    <xf numFmtId="220" fontId="77" fillId="4" borderId="6" xfId="791" applyNumberFormat="1" applyFont="1" applyFill="1" applyBorder="1" applyAlignment="1">
      <alignment horizontal="right" vertical="center"/>
      <protection/>
    </xf>
    <xf numFmtId="4" fontId="74" fillId="54" borderId="41" xfId="497" applyNumberFormat="1" applyFont="1" applyFill="1" applyBorder="1" applyAlignment="1" applyProtection="1">
      <alignment vertical="center"/>
      <protection locked="0"/>
    </xf>
    <xf numFmtId="3" fontId="81" fillId="47" borderId="6" xfId="794" applyNumberFormat="1" applyFont="1" applyFill="1" applyBorder="1" applyAlignment="1">
      <alignment horizontal="right" vertical="center" wrapText="1"/>
      <protection/>
    </xf>
    <xf numFmtId="219" fontId="77" fillId="4" borderId="6" xfId="791" applyNumberFormat="1" applyFont="1" applyFill="1" applyBorder="1" applyAlignment="1">
      <alignment horizontal="right" vertical="center"/>
      <protection/>
    </xf>
    <xf numFmtId="203" fontId="74" fillId="4" borderId="6" xfId="791" applyNumberFormat="1" applyFont="1" applyFill="1" applyBorder="1" applyAlignment="1">
      <alignment horizontal="right" vertical="center"/>
      <protection/>
    </xf>
    <xf numFmtId="213" fontId="72" fillId="4" borderId="6" xfId="791" applyNumberFormat="1" applyFont="1" applyFill="1" applyBorder="1" applyAlignment="1">
      <alignment horizontal="right" vertical="center"/>
      <protection/>
    </xf>
    <xf numFmtId="0" fontId="2" fillId="0" borderId="42" xfId="791" applyNumberFormat="1" applyFont="1" applyFill="1" applyBorder="1" applyAlignment="1">
      <alignment horizontal="center" vertical="center" wrapText="1"/>
      <protection/>
    </xf>
    <xf numFmtId="49" fontId="2" fillId="0" borderId="40" xfId="794" applyNumberFormat="1" applyFont="1" applyFill="1" applyBorder="1" applyAlignment="1">
      <alignment horizontal="center" vertical="center" wrapText="1"/>
      <protection/>
    </xf>
    <xf numFmtId="49" fontId="2" fillId="0" borderId="4" xfId="794" applyNumberFormat="1" applyFont="1" applyFill="1" applyBorder="1" applyAlignment="1">
      <alignment horizontal="center" vertical="center" wrapText="1"/>
      <protection/>
    </xf>
    <xf numFmtId="49" fontId="2" fillId="0" borderId="43" xfId="794" applyNumberFormat="1" applyFont="1" applyFill="1" applyBorder="1" applyAlignment="1">
      <alignment horizontal="center" vertical="center" wrapText="1"/>
      <protection/>
    </xf>
    <xf numFmtId="0" fontId="2" fillId="0" borderId="40" xfId="794" applyFont="1" applyFill="1" applyBorder="1" applyAlignment="1">
      <alignment horizontal="center" vertical="center"/>
      <protection/>
    </xf>
    <xf numFmtId="0" fontId="2" fillId="0" borderId="43" xfId="794" applyFont="1" applyFill="1" applyBorder="1" applyAlignment="1">
      <alignment horizontal="center" vertical="center"/>
      <protection/>
    </xf>
    <xf numFmtId="0" fontId="2" fillId="0" borderId="44" xfId="791" applyFont="1" applyFill="1" applyBorder="1" applyAlignment="1">
      <alignment horizontal="center" vertical="center"/>
      <protection/>
    </xf>
    <xf numFmtId="0" fontId="2" fillId="0" borderId="45" xfId="791" applyFont="1" applyFill="1" applyBorder="1" applyAlignment="1">
      <alignment horizontal="center" vertical="center"/>
      <protection/>
    </xf>
    <xf numFmtId="0" fontId="2" fillId="0" borderId="33" xfId="791" applyFont="1" applyFill="1" applyBorder="1" applyAlignment="1">
      <alignment horizontal="center" vertical="center"/>
      <protection/>
    </xf>
    <xf numFmtId="0" fontId="2" fillId="0" borderId="46" xfId="791" applyFont="1" applyFill="1" applyBorder="1" applyAlignment="1">
      <alignment horizontal="center" vertical="center"/>
      <protection/>
    </xf>
    <xf numFmtId="0" fontId="2" fillId="0" borderId="29" xfId="791" applyFont="1" applyFill="1" applyBorder="1" applyAlignment="1">
      <alignment horizontal="center" vertical="center"/>
      <protection/>
    </xf>
    <xf numFmtId="0" fontId="2" fillId="0" borderId="31" xfId="791" applyFont="1" applyFill="1" applyBorder="1" applyAlignment="1">
      <alignment horizontal="center" vertical="center"/>
      <protection/>
    </xf>
    <xf numFmtId="0" fontId="2" fillId="0" borderId="46" xfId="791" applyNumberFormat="1" applyFont="1" applyFill="1" applyBorder="1" applyAlignment="1">
      <alignment horizontal="center" vertical="center" wrapText="1"/>
      <protection/>
    </xf>
    <xf numFmtId="0" fontId="2" fillId="0" borderId="29" xfId="791" applyNumberFormat="1" applyFont="1" applyFill="1" applyBorder="1" applyAlignment="1">
      <alignment horizontal="center" vertical="center" wrapText="1"/>
      <protection/>
    </xf>
    <xf numFmtId="0" fontId="2" fillId="0" borderId="31" xfId="791" applyNumberFormat="1" applyFont="1" applyFill="1" applyBorder="1" applyAlignment="1">
      <alignment horizontal="center" vertical="center" wrapText="1"/>
      <protection/>
    </xf>
    <xf numFmtId="0" fontId="2" fillId="0" borderId="47" xfId="791" applyNumberFormat="1" applyFont="1" applyFill="1" applyBorder="1" applyAlignment="1">
      <alignment horizontal="center" vertical="center" wrapText="1"/>
      <protection/>
    </xf>
    <xf numFmtId="0" fontId="2" fillId="0" borderId="48" xfId="791" applyNumberFormat="1" applyFont="1" applyFill="1" applyBorder="1" applyAlignment="1">
      <alignment horizontal="center" vertical="center" wrapText="1"/>
      <protection/>
    </xf>
    <xf numFmtId="49" fontId="2" fillId="0" borderId="37" xfId="794" applyNumberFormat="1" applyFont="1" applyFill="1" applyBorder="1" applyAlignment="1">
      <alignment horizontal="center" vertical="center" wrapText="1"/>
      <protection/>
    </xf>
    <xf numFmtId="49" fontId="2" fillId="0" borderId="49" xfId="794" applyNumberFormat="1" applyFont="1" applyFill="1" applyBorder="1" applyAlignment="1">
      <alignment horizontal="center" vertical="center" wrapText="1"/>
      <protection/>
    </xf>
    <xf numFmtId="0" fontId="2" fillId="0" borderId="49" xfId="794" applyFont="1" applyFill="1" applyBorder="1" applyAlignment="1">
      <alignment horizontal="center" vertical="center"/>
      <protection/>
    </xf>
    <xf numFmtId="0" fontId="5" fillId="0" borderId="6" xfId="794" applyFont="1" applyFill="1" applyBorder="1" applyAlignment="1">
      <alignment horizontal="left" vertical="center" shrinkToFit="1"/>
      <protection/>
    </xf>
    <xf numFmtId="3" fontId="33" fillId="0" borderId="6" xfId="794" applyNumberFormat="1" applyFont="1" applyFill="1" applyBorder="1" applyAlignment="1">
      <alignment horizontal="left" vertical="center" shrinkToFit="1"/>
      <protection/>
    </xf>
    <xf numFmtId="3" fontId="34" fillId="0" borderId="6" xfId="794" applyNumberFormat="1" applyFont="1" applyFill="1" applyBorder="1" applyAlignment="1">
      <alignment horizontal="left" vertical="center" wrapText="1" shrinkToFit="1"/>
      <protection/>
    </xf>
    <xf numFmtId="0" fontId="5" fillId="0" borderId="6" xfId="795" applyFont="1" applyFill="1" applyBorder="1" applyAlignment="1">
      <alignment horizontal="left" vertical="center"/>
      <protection/>
    </xf>
    <xf numFmtId="0" fontId="33" fillId="0" borderId="6" xfId="794" applyFont="1" applyFill="1" applyBorder="1" applyAlignment="1">
      <alignment horizontal="left" vertical="center"/>
      <protection/>
    </xf>
    <xf numFmtId="0" fontId="2" fillId="0" borderId="50" xfId="791" applyNumberFormat="1" applyFont="1" applyFill="1" applyBorder="1" applyAlignment="1">
      <alignment horizontal="center" vertical="center" wrapText="1"/>
      <protection/>
    </xf>
    <xf numFmtId="0" fontId="2" fillId="0" borderId="51" xfId="791" applyNumberFormat="1" applyFont="1" applyFill="1" applyBorder="1" applyAlignment="1">
      <alignment horizontal="center" vertical="center" wrapText="1"/>
      <protection/>
    </xf>
  </cellXfs>
  <cellStyles count="894">
    <cellStyle name="Normal" xfId="0"/>
    <cellStyle name="_~6099726" xfId="15"/>
    <cellStyle name="_03_Отчетные_Производство" xfId="16"/>
    <cellStyle name="_FFF" xfId="17"/>
    <cellStyle name="_FFF_New Form10_2" xfId="18"/>
    <cellStyle name="_FFF_Nsi" xfId="19"/>
    <cellStyle name="_FFF_Nsi_1" xfId="20"/>
    <cellStyle name="_FFF_Nsi_139" xfId="21"/>
    <cellStyle name="_FFF_Nsi_140" xfId="22"/>
    <cellStyle name="_FFF_Nsi_140(Зах)" xfId="23"/>
    <cellStyle name="_FFF_Nsi_140_mod" xfId="24"/>
    <cellStyle name="_FFF_Summary" xfId="25"/>
    <cellStyle name="_FFF_Tax_form_1кв_3" xfId="26"/>
    <cellStyle name="_FFF_БКЭ" xfId="27"/>
    <cellStyle name="_Final_Book_010301" xfId="28"/>
    <cellStyle name="_Final_Book_010301_New Form10_2" xfId="29"/>
    <cellStyle name="_Final_Book_010301_Nsi" xfId="30"/>
    <cellStyle name="_Final_Book_010301_Nsi_1" xfId="31"/>
    <cellStyle name="_Final_Book_010301_Nsi_139" xfId="32"/>
    <cellStyle name="_Final_Book_010301_Nsi_140" xfId="33"/>
    <cellStyle name="_Final_Book_010301_Nsi_140(Зах)" xfId="34"/>
    <cellStyle name="_Final_Book_010301_Nsi_140_mod" xfId="35"/>
    <cellStyle name="_Final_Book_010301_Summary" xfId="36"/>
    <cellStyle name="_Final_Book_010301_Tax_form_1кв_3" xfId="37"/>
    <cellStyle name="_Final_Book_010301_БКЭ" xfId="38"/>
    <cellStyle name="_New_Sofi" xfId="39"/>
    <cellStyle name="_New_Sofi_FFF" xfId="40"/>
    <cellStyle name="_New_Sofi_New Form10_2" xfId="41"/>
    <cellStyle name="_New_Sofi_Nsi" xfId="42"/>
    <cellStyle name="_New_Sofi_Nsi_1" xfId="43"/>
    <cellStyle name="_New_Sofi_Nsi_139" xfId="44"/>
    <cellStyle name="_New_Sofi_Nsi_140" xfId="45"/>
    <cellStyle name="_New_Sofi_Nsi_140(Зах)" xfId="46"/>
    <cellStyle name="_New_Sofi_Nsi_140_mod" xfId="47"/>
    <cellStyle name="_New_Sofi_Summary" xfId="48"/>
    <cellStyle name="_New_Sofi_Tax_form_1кв_3" xfId="49"/>
    <cellStyle name="_New_Sofi_БКЭ" xfId="50"/>
    <cellStyle name="_Nsi" xfId="51"/>
    <cellStyle name="_АГ" xfId="52"/>
    <cellStyle name="_АГ 10" xfId="53"/>
    <cellStyle name="_АГ 2" xfId="54"/>
    <cellStyle name="_АГ 2 2" xfId="55"/>
    <cellStyle name="_АГ 3" xfId="56"/>
    <cellStyle name="_АГ 3 2" xfId="57"/>
    <cellStyle name="_АГ 4" xfId="58"/>
    <cellStyle name="_АГ 4 2" xfId="59"/>
    <cellStyle name="_АГ 5" xfId="60"/>
    <cellStyle name="_АГ 5 2" xfId="61"/>
    <cellStyle name="_АГ 6" xfId="62"/>
    <cellStyle name="_АГ 6 2" xfId="63"/>
    <cellStyle name="_АГ 7" xfId="64"/>
    <cellStyle name="_АГ 7 2" xfId="65"/>
    <cellStyle name="_АГ 8" xfId="66"/>
    <cellStyle name="_АГ 8 2" xfId="67"/>
    <cellStyle name="_АГ 9" xfId="68"/>
    <cellStyle name="_АГ 9 2" xfId="69"/>
    <cellStyle name="_АГ_Баланс 2008г (вода) 07.02.08" xfId="70"/>
    <cellStyle name="_АГ_Баланс 2008г (вода) 07.02.08 2" xfId="71"/>
    <cellStyle name="_АГ_Баланс 2009 гЭЭ- пот. 21,9%  27.10.08" xfId="72"/>
    <cellStyle name="_АГ_Баланс 2009 гЭЭ- пот. 21,9%  27.10.08 2" xfId="73"/>
    <cellStyle name="_АГ_Баланс тепло 2008 ПСП (изоляция)" xfId="74"/>
    <cellStyle name="_АГ_Баланс тепло 2008 ПСП (изоляция) 2" xfId="75"/>
    <cellStyle name="_АГ_Балансы  ПФ на 2008 год (окончательные)" xfId="76"/>
    <cellStyle name="_АГ_Балансы  ПФ на 2008 год (окончательные) 2" xfId="77"/>
    <cellStyle name="_АГ_Балансы  ПФ на 2008 год (окончательные) 2 2" xfId="78"/>
    <cellStyle name="_АГ_Балансы  ПФ на 2008 год (окончательные) 3" xfId="79"/>
    <cellStyle name="_АГ_БФ ДЗО_ПФ-9 2008 год( П-9.5, 9.6) элктроэнергия" xfId="80"/>
    <cellStyle name="_АГ_БФ ДЗО_ПФ-9 2008 год( П-9.5, 9.6) элктроэнергия 2" xfId="81"/>
    <cellStyle name="_АГ_БФ Н-П_ПФ-9.3" xfId="82"/>
    <cellStyle name="_АГ_БФ Н-П_ПФ-9.3 2" xfId="83"/>
    <cellStyle name="_АГ_БФ Н-П_ПФ-9.3 коррект.ПВ" xfId="84"/>
    <cellStyle name="_АГ_БФ Н-П_ПФ-9.3 коррект.ПВ 2" xfId="85"/>
    <cellStyle name="_АГ_ДЗО_ПП2007_ГГГГММДД" xfId="86"/>
    <cellStyle name="_АГ_НП ЭЭ Баланс 2009" xfId="87"/>
    <cellStyle name="_АГ_НП ЭЭ Баланс 2009 2" xfId="88"/>
    <cellStyle name="_АГ_ООО_Н_П_П-9.1 2008.03.14" xfId="89"/>
    <cellStyle name="_АГ_ООО_Н_П_П-9.1 2008.03.14 2" xfId="90"/>
    <cellStyle name="_АГ_ПВ-03 новая" xfId="91"/>
    <cellStyle name="_АГ_Приложение 2 (январь)" xfId="92"/>
    <cellStyle name="_АГ_Приложение 2 (январь) 2" xfId="93"/>
    <cellStyle name="_АГ_Прогноз потерь и анализ отклонений за 2010 год" xfId="94"/>
    <cellStyle name="_Баланс 2009 гЭЭ- пот. 21,9%  27.10.08" xfId="95"/>
    <cellStyle name="_Баланс тепло 2008 ПСП (изоляция)" xfId="96"/>
    <cellStyle name="_БДР04м05" xfId="97"/>
    <cellStyle name="_БФ ДЗО_ПФ-9 2008 год( П-9.5, 9.6) элктроэнергия" xfId="98"/>
    <cellStyle name="_БФ Н-П_ П-9.1 (ПСП)" xfId="99"/>
    <cellStyle name="_График реализации проектовa_3" xfId="100"/>
    <cellStyle name="_Дозакл 5 мес.2000" xfId="101"/>
    <cellStyle name="_Книга3" xfId="102"/>
    <cellStyle name="_Книга3_New Form10_2" xfId="103"/>
    <cellStyle name="_Книга3_Nsi" xfId="104"/>
    <cellStyle name="_Книга3_Nsi_1" xfId="105"/>
    <cellStyle name="_Книга3_Nsi_139" xfId="106"/>
    <cellStyle name="_Книга3_Nsi_140" xfId="107"/>
    <cellStyle name="_Книга3_Nsi_140(Зах)" xfId="108"/>
    <cellStyle name="_Книга3_Nsi_140_mod" xfId="109"/>
    <cellStyle name="_Книга3_Summary" xfId="110"/>
    <cellStyle name="_Книга3_Tax_form_1кв_3" xfId="111"/>
    <cellStyle name="_Книга3_БКЭ" xfId="112"/>
    <cellStyle name="_Книга7" xfId="113"/>
    <cellStyle name="_Книга7_New Form10_2" xfId="114"/>
    <cellStyle name="_Книга7_Nsi" xfId="115"/>
    <cellStyle name="_Книга7_Nsi_1" xfId="116"/>
    <cellStyle name="_Книга7_Nsi_139" xfId="117"/>
    <cellStyle name="_Книга7_Nsi_140" xfId="118"/>
    <cellStyle name="_Книга7_Nsi_140(Зах)" xfId="119"/>
    <cellStyle name="_Книга7_Nsi_140_mod" xfId="120"/>
    <cellStyle name="_Книга7_Summary" xfId="121"/>
    <cellStyle name="_Книга7_Tax_form_1кв_3" xfId="122"/>
    <cellStyle name="_Книга7_БКЭ" xfId="123"/>
    <cellStyle name="_Куликова ОПП" xfId="124"/>
    <cellStyle name="_НП ЭЭ Баланс 2009" xfId="125"/>
    <cellStyle name="_ООО_Н_П_П-9.1 2008.03.14" xfId="126"/>
    <cellStyle name="_отчетность_31" xfId="127"/>
    <cellStyle name="_Прик РКС-265-п от 21.11.2005г. прил 1 к Регламенту" xfId="128"/>
    <cellStyle name="_ПРИЛ. 2003_ЧТЭ" xfId="129"/>
    <cellStyle name="_Приложение откр." xfId="130"/>
    <cellStyle name="_проект_инвест_программы_2" xfId="131"/>
    <cellStyle name="_ПФ Баланс 2008г (вода) 07.02.08" xfId="132"/>
    <cellStyle name="_ПФ14" xfId="133"/>
    <cellStyle name="_Расшифровки_1кв_2002" xfId="134"/>
    <cellStyle name="_Формы" xfId="135"/>
    <cellStyle name="”€ќђќ‘ћ‚›‰" xfId="136"/>
    <cellStyle name="”€ќђќ‘ћ‚›‰ 2" xfId="137"/>
    <cellStyle name="”€ќђќ‘ћ‚›‰ 2 2" xfId="138"/>
    <cellStyle name="”€ќђќ‘ћ‚›‰ 3" xfId="139"/>
    <cellStyle name="”€љ‘€ђћ‚ђќќ›‰" xfId="140"/>
    <cellStyle name="”€љ‘€ђћ‚ђќќ›‰ 2" xfId="141"/>
    <cellStyle name="”€љ‘€ђћ‚ђќќ›‰ 2 2" xfId="142"/>
    <cellStyle name="”€љ‘€ђћ‚ђќќ›‰ 3" xfId="143"/>
    <cellStyle name="”ќђќ‘ћ‚›‰" xfId="144"/>
    <cellStyle name="”ќђќ‘ћ‚›‰ 2" xfId="145"/>
    <cellStyle name="”ќђќ‘ћ‚›‰ 2 2" xfId="146"/>
    <cellStyle name="”ќђќ‘ћ‚›‰ 3" xfId="147"/>
    <cellStyle name="”љ‘ђћ‚ђќќ›‰" xfId="148"/>
    <cellStyle name="”љ‘ђћ‚ђќќ›‰ 2" xfId="149"/>
    <cellStyle name="”љ‘ђћ‚ђќќ›‰ 2 2" xfId="150"/>
    <cellStyle name="”љ‘ђћ‚ђќќ›‰ 3" xfId="151"/>
    <cellStyle name="„…ќ…†ќ›‰" xfId="152"/>
    <cellStyle name="„…ќ…†ќ›‰ 2" xfId="153"/>
    <cellStyle name="„…ќ…†ќ›‰ 2 2" xfId="154"/>
    <cellStyle name="„…ќ…†ќ›‰ 3" xfId="155"/>
    <cellStyle name="„ђ’ђ" xfId="156"/>
    <cellStyle name="„ђ’ђ 2" xfId="157"/>
    <cellStyle name="„ђ’ђ 2 2" xfId="158"/>
    <cellStyle name="„ђ’ђ 3" xfId="159"/>
    <cellStyle name="€’ћѓћ‚›‰" xfId="160"/>
    <cellStyle name="€’ћѓћ‚›‰ 2" xfId="161"/>
    <cellStyle name="€’ћѓћ‚›‰ 2 2" xfId="162"/>
    <cellStyle name="€’ћѓћ‚›‰ 3" xfId="163"/>
    <cellStyle name="‡ђѓћ‹ћ‚ћљ1" xfId="164"/>
    <cellStyle name="‡ђѓћ‹ћ‚ћљ1 2" xfId="165"/>
    <cellStyle name="‡ђѓћ‹ћ‚ћљ1 2 2" xfId="166"/>
    <cellStyle name="‡ђѓћ‹ћ‚ћљ1 3" xfId="167"/>
    <cellStyle name="‡ђѓћ‹ћ‚ћљ2" xfId="168"/>
    <cellStyle name="‡ђѓћ‹ћ‚ћљ2 2" xfId="169"/>
    <cellStyle name="‡ђѓћ‹ћ‚ћљ2 2 2" xfId="170"/>
    <cellStyle name="‡ђѓћ‹ћ‚ћљ2 3" xfId="171"/>
    <cellStyle name="’ћѓћ‚›‰" xfId="172"/>
    <cellStyle name="’ћѓћ‚›‰ 2" xfId="173"/>
    <cellStyle name="’ћѓћ‚›‰ 2 2" xfId="174"/>
    <cellStyle name="’ћѓћ‚›‰ 3" xfId="175"/>
    <cellStyle name="0,00;0;" xfId="176"/>
    <cellStyle name="0,00;0; 2" xfId="177"/>
    <cellStyle name="20% - Акцент1" xfId="178"/>
    <cellStyle name="20% - Акцент1 2" xfId="179"/>
    <cellStyle name="20% - Акцент1 2 2" xfId="180"/>
    <cellStyle name="20% - Акцент1 3" xfId="181"/>
    <cellStyle name="20% - Акцент1 4" xfId="182"/>
    <cellStyle name="20% - Акцент1 5" xfId="183"/>
    <cellStyle name="20% - Акцент1 6" xfId="184"/>
    <cellStyle name="20% - Акцент1 7" xfId="185"/>
    <cellStyle name="20% - Акцент1 8" xfId="186"/>
    <cellStyle name="20% - Акцент1 9" xfId="187"/>
    <cellStyle name="20% - Акцент2" xfId="188"/>
    <cellStyle name="20% - Акцент2 2" xfId="189"/>
    <cellStyle name="20% - Акцент2 2 2" xfId="190"/>
    <cellStyle name="20% - Акцент2 3" xfId="191"/>
    <cellStyle name="20% - Акцент2 4" xfId="192"/>
    <cellStyle name="20% - Акцент2 5" xfId="193"/>
    <cellStyle name="20% - Акцент2 6" xfId="194"/>
    <cellStyle name="20% - Акцент2 7" xfId="195"/>
    <cellStyle name="20% - Акцент2 8" xfId="196"/>
    <cellStyle name="20% - Акцент2 9" xfId="197"/>
    <cellStyle name="20% - Акцент3" xfId="198"/>
    <cellStyle name="20% - Акцент3 2" xfId="199"/>
    <cellStyle name="20% - Акцент3 2 2" xfId="200"/>
    <cellStyle name="20% - Акцент3 3" xfId="201"/>
    <cellStyle name="20% - Акцент3 4" xfId="202"/>
    <cellStyle name="20% - Акцент3 5" xfId="203"/>
    <cellStyle name="20% - Акцент3 6" xfId="204"/>
    <cellStyle name="20% - Акцент3 7" xfId="205"/>
    <cellStyle name="20% - Акцент3 8" xfId="206"/>
    <cellStyle name="20% - Акцент3 9" xfId="207"/>
    <cellStyle name="20% - Акцент4" xfId="208"/>
    <cellStyle name="20% - Акцент4 2" xfId="209"/>
    <cellStyle name="20% - Акцент4 2 2" xfId="210"/>
    <cellStyle name="20% - Акцент4 3" xfId="211"/>
    <cellStyle name="20% - Акцент4 4" xfId="212"/>
    <cellStyle name="20% - Акцент4 5" xfId="213"/>
    <cellStyle name="20% - Акцент4 6" xfId="214"/>
    <cellStyle name="20% - Акцент4 7" xfId="215"/>
    <cellStyle name="20% - Акцент4 8" xfId="216"/>
    <cellStyle name="20% - Акцент4 9" xfId="217"/>
    <cellStyle name="20% - Акцент5" xfId="218"/>
    <cellStyle name="20% - Акцент5 2" xfId="219"/>
    <cellStyle name="20% - Акцент5 2 2" xfId="220"/>
    <cellStyle name="20% - Акцент5 3" xfId="221"/>
    <cellStyle name="20% - Акцент5 4" xfId="222"/>
    <cellStyle name="20% - Акцент5 5" xfId="223"/>
    <cellStyle name="20% - Акцент5 6" xfId="224"/>
    <cellStyle name="20% - Акцент5 7" xfId="225"/>
    <cellStyle name="20% - Акцент5 8" xfId="226"/>
    <cellStyle name="20% - Акцент5 9" xfId="227"/>
    <cellStyle name="20% - Акцент6" xfId="228"/>
    <cellStyle name="20% - Акцент6 2" xfId="229"/>
    <cellStyle name="20% - Акцент6 2 2" xfId="230"/>
    <cellStyle name="20% - Акцент6 3" xfId="231"/>
    <cellStyle name="20% - Акцент6 4" xfId="232"/>
    <cellStyle name="20% - Акцент6 5" xfId="233"/>
    <cellStyle name="20% - Акцент6 6" xfId="234"/>
    <cellStyle name="20% - Акцент6 7" xfId="235"/>
    <cellStyle name="20% - Акцент6 8" xfId="236"/>
    <cellStyle name="20% - Акцент6 9" xfId="237"/>
    <cellStyle name="3d" xfId="238"/>
    <cellStyle name="40% - Акцент1" xfId="239"/>
    <cellStyle name="40% - Акцент1 2" xfId="240"/>
    <cellStyle name="40% - Акцент1 2 2" xfId="241"/>
    <cellStyle name="40% - Акцент1 3" xfId="242"/>
    <cellStyle name="40% - Акцент1 4" xfId="243"/>
    <cellStyle name="40% - Акцент1 5" xfId="244"/>
    <cellStyle name="40% - Акцент1 6" xfId="245"/>
    <cellStyle name="40% - Акцент1 7" xfId="246"/>
    <cellStyle name="40% - Акцент1 8" xfId="247"/>
    <cellStyle name="40% - Акцент1 9" xfId="248"/>
    <cellStyle name="40% - Акцент2" xfId="249"/>
    <cellStyle name="40% - Акцент2 2" xfId="250"/>
    <cellStyle name="40% - Акцент2 2 2" xfId="251"/>
    <cellStyle name="40% - Акцент2 3" xfId="252"/>
    <cellStyle name="40% - Акцент2 4" xfId="253"/>
    <cellStyle name="40% - Акцент2 5" xfId="254"/>
    <cellStyle name="40% - Акцент2 6" xfId="255"/>
    <cellStyle name="40% - Акцент2 7" xfId="256"/>
    <cellStyle name="40% - Акцент2 8" xfId="257"/>
    <cellStyle name="40% - Акцент2 9" xfId="258"/>
    <cellStyle name="40% - Акцент3" xfId="259"/>
    <cellStyle name="40% - Акцент3 2" xfId="260"/>
    <cellStyle name="40% - Акцент3 2 2" xfId="261"/>
    <cellStyle name="40% - Акцент3 3" xfId="262"/>
    <cellStyle name="40% - Акцент3 4" xfId="263"/>
    <cellStyle name="40% - Акцент3 5" xfId="264"/>
    <cellStyle name="40% - Акцент3 6" xfId="265"/>
    <cellStyle name="40% - Акцент3 7" xfId="266"/>
    <cellStyle name="40% - Акцент3 8" xfId="267"/>
    <cellStyle name="40% - Акцент3 9" xfId="268"/>
    <cellStyle name="40% - Акцент4" xfId="269"/>
    <cellStyle name="40% - Акцент4 2" xfId="270"/>
    <cellStyle name="40% - Акцент4 2 2" xfId="271"/>
    <cellStyle name="40% - Акцент4 3" xfId="272"/>
    <cellStyle name="40% - Акцент4 4" xfId="273"/>
    <cellStyle name="40% - Акцент4 5" xfId="274"/>
    <cellStyle name="40% - Акцент4 6" xfId="275"/>
    <cellStyle name="40% - Акцент4 7" xfId="276"/>
    <cellStyle name="40% - Акцент4 8" xfId="277"/>
    <cellStyle name="40% - Акцент4 9" xfId="278"/>
    <cellStyle name="40% - Акцент5" xfId="279"/>
    <cellStyle name="40% - Акцент5 2" xfId="280"/>
    <cellStyle name="40% - Акцент5 2 2" xfId="281"/>
    <cellStyle name="40% - Акцент5 3" xfId="282"/>
    <cellStyle name="40% - Акцент5 4" xfId="283"/>
    <cellStyle name="40% - Акцент5 5" xfId="284"/>
    <cellStyle name="40% - Акцент5 6" xfId="285"/>
    <cellStyle name="40% - Акцент5 7" xfId="286"/>
    <cellStyle name="40% - Акцент5 8" xfId="287"/>
    <cellStyle name="40% - Акцент5 9" xfId="288"/>
    <cellStyle name="40% - Акцент6" xfId="289"/>
    <cellStyle name="40% - Акцент6 2" xfId="290"/>
    <cellStyle name="40% - Акцент6 2 2" xfId="291"/>
    <cellStyle name="40% - Акцент6 3" xfId="292"/>
    <cellStyle name="40% - Акцент6 4" xfId="293"/>
    <cellStyle name="40% - Акцент6 5" xfId="294"/>
    <cellStyle name="40% - Акцент6 6" xfId="295"/>
    <cellStyle name="40% - Акцент6 7" xfId="296"/>
    <cellStyle name="40% - Акцент6 8" xfId="297"/>
    <cellStyle name="40% - Акцент6 9" xfId="298"/>
    <cellStyle name="60% - Акцент1" xfId="299"/>
    <cellStyle name="60% - Акцент1 2" xfId="300"/>
    <cellStyle name="60% - Акцент1 2 2" xfId="301"/>
    <cellStyle name="60% - Акцент1 3" xfId="302"/>
    <cellStyle name="60% - Акцент1 4" xfId="303"/>
    <cellStyle name="60% - Акцент1 5" xfId="304"/>
    <cellStyle name="60% - Акцент1 6" xfId="305"/>
    <cellStyle name="60% - Акцент1 7" xfId="306"/>
    <cellStyle name="60% - Акцент1 8" xfId="307"/>
    <cellStyle name="60% - Акцент1 9" xfId="308"/>
    <cellStyle name="60% - Акцент2" xfId="309"/>
    <cellStyle name="60% - Акцент2 2" xfId="310"/>
    <cellStyle name="60% - Акцент2 2 2" xfId="311"/>
    <cellStyle name="60% - Акцент2 3" xfId="312"/>
    <cellStyle name="60% - Акцент2 4" xfId="313"/>
    <cellStyle name="60% - Акцент2 5" xfId="314"/>
    <cellStyle name="60% - Акцент2 6" xfId="315"/>
    <cellStyle name="60% - Акцент2 7" xfId="316"/>
    <cellStyle name="60% - Акцент2 8" xfId="317"/>
    <cellStyle name="60% - Акцент2 9" xfId="318"/>
    <cellStyle name="60% - Акцент3" xfId="319"/>
    <cellStyle name="60% - Акцент3 2" xfId="320"/>
    <cellStyle name="60% - Акцент3 2 2" xfId="321"/>
    <cellStyle name="60% - Акцент3 3" xfId="322"/>
    <cellStyle name="60% - Акцент3 4" xfId="323"/>
    <cellStyle name="60% - Акцент3 5" xfId="324"/>
    <cellStyle name="60% - Акцент3 6" xfId="325"/>
    <cellStyle name="60% - Акцент3 7" xfId="326"/>
    <cellStyle name="60% - Акцент3 8" xfId="327"/>
    <cellStyle name="60% - Акцент3 9" xfId="328"/>
    <cellStyle name="60% - Акцент4" xfId="329"/>
    <cellStyle name="60% - Акцент4 2" xfId="330"/>
    <cellStyle name="60% - Акцент4 2 2" xfId="331"/>
    <cellStyle name="60% - Акцент4 3" xfId="332"/>
    <cellStyle name="60% - Акцент4 4" xfId="333"/>
    <cellStyle name="60% - Акцент4 5" xfId="334"/>
    <cellStyle name="60% - Акцент4 6" xfId="335"/>
    <cellStyle name="60% - Акцент4 7" xfId="336"/>
    <cellStyle name="60% - Акцент4 8" xfId="337"/>
    <cellStyle name="60% - Акцент4 9" xfId="338"/>
    <cellStyle name="60% - Акцент5" xfId="339"/>
    <cellStyle name="60% - Акцент5 2" xfId="340"/>
    <cellStyle name="60% - Акцент5 2 2" xfId="341"/>
    <cellStyle name="60% - Акцент5 3" xfId="342"/>
    <cellStyle name="60% - Акцент5 4" xfId="343"/>
    <cellStyle name="60% - Акцент5 5" xfId="344"/>
    <cellStyle name="60% - Акцент5 6" xfId="345"/>
    <cellStyle name="60% - Акцент5 7" xfId="346"/>
    <cellStyle name="60% - Акцент5 8" xfId="347"/>
    <cellStyle name="60% - Акцент5 9" xfId="348"/>
    <cellStyle name="60% - Акцент6" xfId="349"/>
    <cellStyle name="60% - Акцент6 2" xfId="350"/>
    <cellStyle name="60% - Акцент6 2 2" xfId="351"/>
    <cellStyle name="60% - Акцент6 3" xfId="352"/>
    <cellStyle name="60% - Акцент6 4" xfId="353"/>
    <cellStyle name="60% - Акцент6 5" xfId="354"/>
    <cellStyle name="60% - Акцент6 6" xfId="355"/>
    <cellStyle name="60% - Акцент6 7" xfId="356"/>
    <cellStyle name="60% - Акцент6 8" xfId="357"/>
    <cellStyle name="60% - Акцент6 9" xfId="358"/>
    <cellStyle name="Aaia?iue [0]_?anoiau" xfId="359"/>
    <cellStyle name="Aaia?iue_?anoiau" xfId="360"/>
    <cellStyle name="Aeia?nnueea" xfId="361"/>
    <cellStyle name="Calc Currency (0)" xfId="362"/>
    <cellStyle name="Calc Currency (0) 2" xfId="363"/>
    <cellStyle name="Calc Currency (0) 2 2" xfId="364"/>
    <cellStyle name="Calc Currency (0) 3" xfId="365"/>
    <cellStyle name="Comma [0]_(1)" xfId="366"/>
    <cellStyle name="Comma_(1)" xfId="367"/>
    <cellStyle name="Currency [0]" xfId="368"/>
    <cellStyle name="Currency [0] 2" xfId="369"/>
    <cellStyle name="Currency [0] 2 2" xfId="370"/>
    <cellStyle name="Currency [0] 3" xfId="371"/>
    <cellStyle name="Currency_(1)" xfId="372"/>
    <cellStyle name="Đ_x0010_" xfId="373"/>
    <cellStyle name="Đ_x0010_ 10" xfId="374"/>
    <cellStyle name="Đ_x0010_ 2" xfId="375"/>
    <cellStyle name="Đ_x0010_ 2 2" xfId="376"/>
    <cellStyle name="Đ_x0010_ 3" xfId="377"/>
    <cellStyle name="Đ_x0010_ 3 2" xfId="378"/>
    <cellStyle name="Đ_x0010_ 4" xfId="379"/>
    <cellStyle name="Đ_x0010_ 4 2" xfId="380"/>
    <cellStyle name="Đ_x0010_ 5" xfId="381"/>
    <cellStyle name="Đ_x0010_ 5 2" xfId="382"/>
    <cellStyle name="Đ_x0010_ 6" xfId="383"/>
    <cellStyle name="Đ_x0010_ 6 2" xfId="384"/>
    <cellStyle name="Đ_x0010_ 7" xfId="385"/>
    <cellStyle name="Đ_x0010_ 7 2" xfId="386"/>
    <cellStyle name="Đ_x0010_ 8" xfId="387"/>
    <cellStyle name="Đ_x0010_ 8 2" xfId="388"/>
    <cellStyle name="Đ_x0010_ 9" xfId="389"/>
    <cellStyle name="Đ_x0010_ 9 2" xfId="390"/>
    <cellStyle name="Đ_x0010_?䥘Ȏ_x0013_⤀጖ē??䆈Ȏ_x0013_⬀ጘē_x0010_?䦄Ȏ" xfId="391"/>
    <cellStyle name="Đ_x0010_?䥘Ȏ_x0013_⤀጖ē??䆈Ȏ_x0013_⬀ጘē_x0010_?䦄Ȏ 1" xfId="392"/>
    <cellStyle name="Đ_x0010_?䥘Ȏ_x0013_⤀጖ē??䆈Ȏ_x0013_⬀ጘē_x0010_?䦄Ȏ 1 10" xfId="393"/>
    <cellStyle name="Đ_x0010_?䥘Ȏ_x0013_⤀጖ē??䆈Ȏ_x0013_⬀ጘē_x0010_?䦄Ȏ 1 2" xfId="394"/>
    <cellStyle name="Đ_x0010_?䥘Ȏ_x0013_⤀጖ē??䆈Ȏ_x0013_⬀ጘē_x0010_?䦄Ȏ 1 2 2" xfId="395"/>
    <cellStyle name="Đ_x0010_?䥘Ȏ_x0013_⤀጖ē??䆈Ȏ_x0013_⬀ጘē_x0010_?䦄Ȏ 1 3" xfId="396"/>
    <cellStyle name="Đ_x0010_?䥘Ȏ_x0013_⤀጖ē??䆈Ȏ_x0013_⬀ጘē_x0010_?䦄Ȏ 1 3 2" xfId="397"/>
    <cellStyle name="Đ_x0010_?䥘Ȏ_x0013_⤀጖ē??䆈Ȏ_x0013_⬀ጘē_x0010_?䦄Ȏ 1 4" xfId="398"/>
    <cellStyle name="Đ_x0010_?䥘Ȏ_x0013_⤀጖ē??䆈Ȏ_x0013_⬀ጘē_x0010_?䦄Ȏ 1 4 2" xfId="399"/>
    <cellStyle name="Đ_x0010_?䥘Ȏ_x0013_⤀጖ē??䆈Ȏ_x0013_⬀ጘē_x0010_?䦄Ȏ 1 5" xfId="400"/>
    <cellStyle name="Đ_x0010_?䥘Ȏ_x0013_⤀጖ē??䆈Ȏ_x0013_⬀ጘē_x0010_?䦄Ȏ 1 5 2" xfId="401"/>
    <cellStyle name="Đ_x0010_?䥘Ȏ_x0013_⤀጖ē??䆈Ȏ_x0013_⬀ጘē_x0010_?䦄Ȏ 1 6" xfId="402"/>
    <cellStyle name="Đ_x0010_?䥘Ȏ_x0013_⤀጖ē??䆈Ȏ_x0013_⬀ጘē_x0010_?䦄Ȏ 1 6 2" xfId="403"/>
    <cellStyle name="Đ_x0010_?䥘Ȏ_x0013_⤀጖ē??䆈Ȏ_x0013_⬀ጘē_x0010_?䦄Ȏ 1 7" xfId="404"/>
    <cellStyle name="Đ_x0010_?䥘Ȏ_x0013_⤀጖ē??䆈Ȏ_x0013_⬀ጘē_x0010_?䦄Ȏ 1 7 2" xfId="405"/>
    <cellStyle name="Đ_x0010_?䥘Ȏ_x0013_⤀጖ē??䆈Ȏ_x0013_⬀ጘē_x0010_?䦄Ȏ 1 8" xfId="406"/>
    <cellStyle name="Đ_x0010_?䥘Ȏ_x0013_⤀጖ē??䆈Ȏ_x0013_⬀ጘē_x0010_?䦄Ȏ 1 8 2" xfId="407"/>
    <cellStyle name="Đ_x0010_?䥘Ȏ_x0013_⤀጖ē??䆈Ȏ_x0013_⬀ጘē_x0010_?䦄Ȏ 1 9" xfId="408"/>
    <cellStyle name="Đ_x0010_?䥘Ȏ_x0013_⤀጖ē??䆈Ȏ_x0013_⬀ጘē_x0010_?䦄Ȏ 1 9 2" xfId="409"/>
    <cellStyle name="Đ_x0010_?䥘Ȏ_x0013_⤀጖ē??䆈Ȏ_x0013_⬀ጘē_x0010_?䦄Ȏ 10" xfId="410"/>
    <cellStyle name="Đ_x0010_?䥘Ȏ_x0013_⤀጖ē??䆈Ȏ_x0013_⬀ጘē_x0010_?䦄Ȏ 2" xfId="411"/>
    <cellStyle name="Đ_x0010_?䥘Ȏ_x0013_⤀጖ē??䆈Ȏ_x0013_⬀ጘē_x0010_?䦄Ȏ 2 2" xfId="412"/>
    <cellStyle name="Đ_x0010_?䥘Ȏ_x0013_⤀጖ē??䆈Ȏ_x0013_⬀ጘē_x0010_?䦄Ȏ 3" xfId="413"/>
    <cellStyle name="Đ_x0010_?䥘Ȏ_x0013_⤀጖ē??䆈Ȏ_x0013_⬀ጘē_x0010_?䦄Ȏ 3 2" xfId="414"/>
    <cellStyle name="Đ_x0010_?䥘Ȏ_x0013_⤀጖ē??䆈Ȏ_x0013_⬀ጘē_x0010_?䦄Ȏ 4" xfId="415"/>
    <cellStyle name="Đ_x0010_?䥘Ȏ_x0013_⤀጖ē??䆈Ȏ_x0013_⬀ጘē_x0010_?䦄Ȏ 4 2" xfId="416"/>
    <cellStyle name="Đ_x0010_?䥘Ȏ_x0013_⤀጖ē??䆈Ȏ_x0013_⬀ጘē_x0010_?䦄Ȏ 5" xfId="417"/>
    <cellStyle name="Đ_x0010_?䥘Ȏ_x0013_⤀጖ē??䆈Ȏ_x0013_⬀ጘē_x0010_?䦄Ȏ 5 2" xfId="418"/>
    <cellStyle name="Đ_x0010_?䥘Ȏ_x0013_⤀጖ē??䆈Ȏ_x0013_⬀ጘē_x0010_?䦄Ȏ 6" xfId="419"/>
    <cellStyle name="Đ_x0010_?䥘Ȏ_x0013_⤀጖ē??䆈Ȏ_x0013_⬀ጘē_x0010_?䦄Ȏ 6 2" xfId="420"/>
    <cellStyle name="Đ_x0010_?䥘Ȏ_x0013_⤀጖ē??䆈Ȏ_x0013_⬀ጘē_x0010_?䦄Ȏ 7" xfId="421"/>
    <cellStyle name="Đ_x0010_?䥘Ȏ_x0013_⤀጖ē??䆈Ȏ_x0013_⬀ጘē_x0010_?䦄Ȏ 7 2" xfId="422"/>
    <cellStyle name="Đ_x0010_?䥘Ȏ_x0013_⤀጖ē??䆈Ȏ_x0013_⬀ጘē_x0010_?䦄Ȏ 8" xfId="423"/>
    <cellStyle name="Đ_x0010_?䥘Ȏ_x0013_⤀጖ē??䆈Ȏ_x0013_⬀ጘē_x0010_?䦄Ȏ 8 2" xfId="424"/>
    <cellStyle name="Đ_x0010_?䥘Ȏ_x0013_⤀጖ē??䆈Ȏ_x0013_⬀ጘē_x0010_?䦄Ȏ 9" xfId="425"/>
    <cellStyle name="Đ_x0010_?䥘Ȏ_x0013_⤀጖ē??䆈Ȏ_x0013_⬀ጘē_x0010_?䦄Ȏ 9 2" xfId="426"/>
    <cellStyle name="Đ_x0010_?䥘Ȏ_x0013_⤀጖ē??䆈Ȏ_x0013_⬀ጘē_x0010_?䦄Ȏ_Баланс 2008г (вода) 07.02.08" xfId="427"/>
    <cellStyle name="Đ_x0010__Баланс 2008г (вода) 07.02.08" xfId="428"/>
    <cellStyle name="Dezimal [0]_Compiling Utility Macros" xfId="429"/>
    <cellStyle name="Dezimal_Compiling Utility Macros" xfId="430"/>
    <cellStyle name="Euro" xfId="431"/>
    <cellStyle name="Euro 2" xfId="432"/>
    <cellStyle name="F2" xfId="433"/>
    <cellStyle name="F2 2" xfId="434"/>
    <cellStyle name="F2 2 2" xfId="435"/>
    <cellStyle name="F2 3" xfId="436"/>
    <cellStyle name="F3" xfId="437"/>
    <cellStyle name="F3 2" xfId="438"/>
    <cellStyle name="F3 2 2" xfId="439"/>
    <cellStyle name="F3 3" xfId="440"/>
    <cellStyle name="F4" xfId="441"/>
    <cellStyle name="F4 2" xfId="442"/>
    <cellStyle name="F4 2 2" xfId="443"/>
    <cellStyle name="F4 3" xfId="444"/>
    <cellStyle name="F5" xfId="445"/>
    <cellStyle name="F5 2" xfId="446"/>
    <cellStyle name="F5 2 2" xfId="447"/>
    <cellStyle name="F5 3" xfId="448"/>
    <cellStyle name="F6" xfId="449"/>
    <cellStyle name="F6 2" xfId="450"/>
    <cellStyle name="F6 2 2" xfId="451"/>
    <cellStyle name="F6 3" xfId="452"/>
    <cellStyle name="F7" xfId="453"/>
    <cellStyle name="F7 2" xfId="454"/>
    <cellStyle name="F7 2 2" xfId="455"/>
    <cellStyle name="F7 3" xfId="456"/>
    <cellStyle name="F8" xfId="457"/>
    <cellStyle name="F8 2" xfId="458"/>
    <cellStyle name="F8 2 2" xfId="459"/>
    <cellStyle name="F8 3" xfId="460"/>
    <cellStyle name="Followed Hyperlink" xfId="461"/>
    <cellStyle name="Followed Hyperlink 2" xfId="462"/>
    <cellStyle name="Followed Hyperlink 2 2" xfId="463"/>
    <cellStyle name="Followed Hyperlink 3" xfId="464"/>
    <cellStyle name="Header1" xfId="465"/>
    <cellStyle name="Header2" xfId="466"/>
    <cellStyle name="Heading 1" xfId="467"/>
    <cellStyle name="Heading 1 2" xfId="468"/>
    <cellStyle name="Heading 1 2 2" xfId="469"/>
    <cellStyle name="Heading 1 3" xfId="470"/>
    <cellStyle name="Hyperlink" xfId="471"/>
    <cellStyle name="Hyperlink 2" xfId="472"/>
    <cellStyle name="Hyperlink 2 2" xfId="473"/>
    <cellStyle name="Hyperlink 3" xfId="474"/>
    <cellStyle name="Iau?iue_?anoiau" xfId="475"/>
    <cellStyle name="Input" xfId="476"/>
    <cellStyle name="Ioe?uaaaoayny aeia?nnueea" xfId="477"/>
    <cellStyle name="Ioe?uaaaoayny aeia?nnueea 2" xfId="478"/>
    <cellStyle name="Ioe?uaaaoayny aeia?nnueea 3" xfId="479"/>
    <cellStyle name="Ioe?uaaaoayny aeia?nnueea 4" xfId="480"/>
    <cellStyle name="Ioe?uaaaoayny aeia?nnueea 5" xfId="481"/>
    <cellStyle name="Ioe?uaaaoayny aeia?nnueea 6" xfId="482"/>
    <cellStyle name="Ioe?uaaaoayny aeia?nnueea 7" xfId="483"/>
    <cellStyle name="Ioe?uaaaoayny aeia?nnueea 8" xfId="484"/>
    <cellStyle name="Ioe?uaaaoayny aeia?nnueea 9" xfId="485"/>
    <cellStyle name="ISO" xfId="486"/>
    <cellStyle name="ISO 2" xfId="487"/>
    <cellStyle name="ISO 2 2" xfId="488"/>
    <cellStyle name="ISO 3" xfId="489"/>
    <cellStyle name="JR Cells No Values" xfId="490"/>
    <cellStyle name="JR_ formula" xfId="491"/>
    <cellStyle name="JRchapeau" xfId="492"/>
    <cellStyle name="Just_Table" xfId="493"/>
    <cellStyle name="Milliers_FA_JUIN_2004" xfId="494"/>
    <cellStyle name="Monйtaire [0]_Conversion Summary" xfId="495"/>
    <cellStyle name="Monйtaire_Conversion Summary" xfId="496"/>
    <cellStyle name="Normal" xfId="497"/>
    <cellStyle name="Normal1" xfId="498"/>
    <cellStyle name="normбlnм_laroux" xfId="499"/>
    <cellStyle name="Oeiainiaue [0]_?anoiau" xfId="500"/>
    <cellStyle name="Oeiainiaue_?anoiau" xfId="501"/>
    <cellStyle name="Ouny?e [0]_?anoiau" xfId="502"/>
    <cellStyle name="Ouny?e_?anoiau" xfId="503"/>
    <cellStyle name="Paaotsikko" xfId="504"/>
    <cellStyle name="Paaotsikko 2" xfId="505"/>
    <cellStyle name="Paaotsikko 2 2" xfId="506"/>
    <cellStyle name="Paaotsikko 3" xfId="507"/>
    <cellStyle name="Price_Body" xfId="508"/>
    <cellStyle name="protect" xfId="509"/>
    <cellStyle name="protect 10" xfId="510"/>
    <cellStyle name="protect 2" xfId="511"/>
    <cellStyle name="protect 2 2" xfId="512"/>
    <cellStyle name="protect 3" xfId="513"/>
    <cellStyle name="protect 3 2" xfId="514"/>
    <cellStyle name="protect 4" xfId="515"/>
    <cellStyle name="protect 4 2" xfId="516"/>
    <cellStyle name="protect 5" xfId="517"/>
    <cellStyle name="protect 5 2" xfId="518"/>
    <cellStyle name="protect 6" xfId="519"/>
    <cellStyle name="protect 6 2" xfId="520"/>
    <cellStyle name="protect 7" xfId="521"/>
    <cellStyle name="protect 7 2" xfId="522"/>
    <cellStyle name="protect 8" xfId="523"/>
    <cellStyle name="protect 8 2" xfId="524"/>
    <cellStyle name="protect 9" xfId="525"/>
    <cellStyle name="protect 9 2" xfId="526"/>
    <cellStyle name="Pддotsikko" xfId="527"/>
    <cellStyle name="Pддotsikko 2" xfId="528"/>
    <cellStyle name="Pддotsikko 2 2" xfId="529"/>
    <cellStyle name="Pддotsikko 3" xfId="530"/>
    <cellStyle name="QTitle" xfId="531"/>
    <cellStyle name="range" xfId="532"/>
    <cellStyle name="range 10" xfId="533"/>
    <cellStyle name="range 10 2" xfId="534"/>
    <cellStyle name="range 11" xfId="535"/>
    <cellStyle name="range 12" xfId="536"/>
    <cellStyle name="range 2" xfId="537"/>
    <cellStyle name="range 2 2" xfId="538"/>
    <cellStyle name="range 3" xfId="539"/>
    <cellStyle name="range 3 2" xfId="540"/>
    <cellStyle name="range 4" xfId="541"/>
    <cellStyle name="range 4 2" xfId="542"/>
    <cellStyle name="range 5" xfId="543"/>
    <cellStyle name="range 5 2" xfId="544"/>
    <cellStyle name="range 6" xfId="545"/>
    <cellStyle name="range 6 2" xfId="546"/>
    <cellStyle name="range 7" xfId="547"/>
    <cellStyle name="range 7 2" xfId="548"/>
    <cellStyle name="range 8" xfId="549"/>
    <cellStyle name="range 8 2" xfId="550"/>
    <cellStyle name="range 9" xfId="551"/>
    <cellStyle name="range 9 2" xfId="552"/>
    <cellStyle name="Standard_Anpassen der Amortisation" xfId="553"/>
    <cellStyle name="t2" xfId="554"/>
    <cellStyle name="t2 10" xfId="555"/>
    <cellStyle name="t2 2" xfId="556"/>
    <cellStyle name="t2 2 2" xfId="557"/>
    <cellStyle name="t2 3" xfId="558"/>
    <cellStyle name="t2 3 2" xfId="559"/>
    <cellStyle name="t2 4" xfId="560"/>
    <cellStyle name="t2 4 2" xfId="561"/>
    <cellStyle name="t2 5" xfId="562"/>
    <cellStyle name="t2 5 2" xfId="563"/>
    <cellStyle name="t2 6" xfId="564"/>
    <cellStyle name="t2 6 2" xfId="565"/>
    <cellStyle name="t2 7" xfId="566"/>
    <cellStyle name="t2 7 2" xfId="567"/>
    <cellStyle name="t2 8" xfId="568"/>
    <cellStyle name="t2 8 2" xfId="569"/>
    <cellStyle name="t2 9" xfId="570"/>
    <cellStyle name="t2 9 2" xfId="571"/>
    <cellStyle name="Tioma Back" xfId="572"/>
    <cellStyle name="Tioma Back 2" xfId="573"/>
    <cellStyle name="Tioma Back 2 2" xfId="574"/>
    <cellStyle name="Tioma Back 3" xfId="575"/>
    <cellStyle name="Tioma Cells No Values" xfId="576"/>
    <cellStyle name="Tioma formula" xfId="577"/>
    <cellStyle name="Tioma Input" xfId="578"/>
    <cellStyle name="Tioma style" xfId="579"/>
    <cellStyle name="Tioma style 10" xfId="580"/>
    <cellStyle name="Tioma style 2" xfId="581"/>
    <cellStyle name="Tioma style 2 2" xfId="582"/>
    <cellStyle name="Tioma style 3" xfId="583"/>
    <cellStyle name="Tioma style 3 2" xfId="584"/>
    <cellStyle name="Tioma style 4" xfId="585"/>
    <cellStyle name="Tioma style 4 2" xfId="586"/>
    <cellStyle name="Tioma style 5" xfId="587"/>
    <cellStyle name="Tioma style 5 2" xfId="588"/>
    <cellStyle name="Tioma style 6" xfId="589"/>
    <cellStyle name="Tioma style 6 2" xfId="590"/>
    <cellStyle name="Tioma style 7" xfId="591"/>
    <cellStyle name="Tioma style 7 2" xfId="592"/>
    <cellStyle name="Tioma style 8" xfId="593"/>
    <cellStyle name="Tioma style 8 2" xfId="594"/>
    <cellStyle name="Tioma style 9" xfId="595"/>
    <cellStyle name="Tioma style 9 2" xfId="596"/>
    <cellStyle name="Validation" xfId="597"/>
    <cellStyle name="Valiotsikko" xfId="598"/>
    <cellStyle name="Valiotsikko 2" xfId="599"/>
    <cellStyle name="Valiotsikko 2 2" xfId="600"/>
    <cellStyle name="Valiotsikko 3" xfId="601"/>
    <cellStyle name="Vдliotsikko" xfId="602"/>
    <cellStyle name="Vдliotsikko 2" xfId="603"/>
    <cellStyle name="Vдliotsikko 2 2" xfId="604"/>
    <cellStyle name="Vдliotsikko 3" xfId="605"/>
    <cellStyle name="Währung [0]_Compiling Utility Macros" xfId="606"/>
    <cellStyle name="Währung_Compiling Utility Macros" xfId="607"/>
    <cellStyle name="YelNumbersCurr" xfId="608"/>
    <cellStyle name="YelNumbersCurr 2" xfId="609"/>
    <cellStyle name="Акцент1" xfId="610"/>
    <cellStyle name="Акцент1 2" xfId="611"/>
    <cellStyle name="Акцент1 2 2" xfId="612"/>
    <cellStyle name="Акцент1 3" xfId="613"/>
    <cellStyle name="Акцент1 4" xfId="614"/>
    <cellStyle name="Акцент1 5" xfId="615"/>
    <cellStyle name="Акцент1 6" xfId="616"/>
    <cellStyle name="Акцент1 7" xfId="617"/>
    <cellStyle name="Акцент1 8" xfId="618"/>
    <cellStyle name="Акцент1 9" xfId="619"/>
    <cellStyle name="Акцент2" xfId="620"/>
    <cellStyle name="Акцент2 2" xfId="621"/>
    <cellStyle name="Акцент2 2 2" xfId="622"/>
    <cellStyle name="Акцент2 3" xfId="623"/>
    <cellStyle name="Акцент2 4" xfId="624"/>
    <cellStyle name="Акцент2 5" xfId="625"/>
    <cellStyle name="Акцент2 6" xfId="626"/>
    <cellStyle name="Акцент2 7" xfId="627"/>
    <cellStyle name="Акцент2 8" xfId="628"/>
    <cellStyle name="Акцент2 9" xfId="629"/>
    <cellStyle name="Акцент3" xfId="630"/>
    <cellStyle name="Акцент3 2" xfId="631"/>
    <cellStyle name="Акцент3 2 2" xfId="632"/>
    <cellStyle name="Акцент3 3" xfId="633"/>
    <cellStyle name="Акцент3 4" xfId="634"/>
    <cellStyle name="Акцент3 5" xfId="635"/>
    <cellStyle name="Акцент3 6" xfId="636"/>
    <cellStyle name="Акцент3 7" xfId="637"/>
    <cellStyle name="Акцент3 8" xfId="638"/>
    <cellStyle name="Акцент3 9" xfId="639"/>
    <cellStyle name="Акцент4" xfId="640"/>
    <cellStyle name="Акцент4 2" xfId="641"/>
    <cellStyle name="Акцент4 2 2" xfId="642"/>
    <cellStyle name="Акцент4 3" xfId="643"/>
    <cellStyle name="Акцент4 4" xfId="644"/>
    <cellStyle name="Акцент4 5" xfId="645"/>
    <cellStyle name="Акцент4 6" xfId="646"/>
    <cellStyle name="Акцент4 7" xfId="647"/>
    <cellStyle name="Акцент4 8" xfId="648"/>
    <cellStyle name="Акцент4 9" xfId="649"/>
    <cellStyle name="Акцент5" xfId="650"/>
    <cellStyle name="Акцент5 2" xfId="651"/>
    <cellStyle name="Акцент5 2 2" xfId="652"/>
    <cellStyle name="Акцент5 3" xfId="653"/>
    <cellStyle name="Акцент5 4" xfId="654"/>
    <cellStyle name="Акцент5 5" xfId="655"/>
    <cellStyle name="Акцент5 6" xfId="656"/>
    <cellStyle name="Акцент5 7" xfId="657"/>
    <cellStyle name="Акцент5 8" xfId="658"/>
    <cellStyle name="Акцент5 9" xfId="659"/>
    <cellStyle name="Акцент6" xfId="660"/>
    <cellStyle name="Акцент6 2" xfId="661"/>
    <cellStyle name="Акцент6 2 2" xfId="662"/>
    <cellStyle name="Акцент6 3" xfId="663"/>
    <cellStyle name="Акцент6 4" xfId="664"/>
    <cellStyle name="Акцент6 5" xfId="665"/>
    <cellStyle name="Акцент6 6" xfId="666"/>
    <cellStyle name="Акцент6 7" xfId="667"/>
    <cellStyle name="Акцент6 8" xfId="668"/>
    <cellStyle name="Акцент6 9" xfId="669"/>
    <cellStyle name="Беззащитный" xfId="670"/>
    <cellStyle name="Ввод " xfId="671"/>
    <cellStyle name="Ввод  2" xfId="672"/>
    <cellStyle name="Ввод  2 2" xfId="673"/>
    <cellStyle name="Ввод  3" xfId="674"/>
    <cellStyle name="Ввод  4" xfId="675"/>
    <cellStyle name="Ввод  5" xfId="676"/>
    <cellStyle name="Ввод  6" xfId="677"/>
    <cellStyle name="Ввод  7" xfId="678"/>
    <cellStyle name="Ввод  8" xfId="679"/>
    <cellStyle name="Ввод  9" xfId="680"/>
    <cellStyle name="Вывод" xfId="681"/>
    <cellStyle name="Вывод 2" xfId="682"/>
    <cellStyle name="Вывод 2 2" xfId="683"/>
    <cellStyle name="Вывод 3" xfId="684"/>
    <cellStyle name="Вывод 4" xfId="685"/>
    <cellStyle name="Вывод 5" xfId="686"/>
    <cellStyle name="Вывод 6" xfId="687"/>
    <cellStyle name="Вывод 7" xfId="688"/>
    <cellStyle name="Вывод 8" xfId="689"/>
    <cellStyle name="Вывод 9" xfId="690"/>
    <cellStyle name="Вычисление" xfId="691"/>
    <cellStyle name="Вычисление 2" xfId="692"/>
    <cellStyle name="Вычисление 2 2" xfId="693"/>
    <cellStyle name="Вычисление 3" xfId="694"/>
    <cellStyle name="Вычисление 4" xfId="695"/>
    <cellStyle name="Вычисление 5" xfId="696"/>
    <cellStyle name="Вычисление 6" xfId="697"/>
    <cellStyle name="Вычисление 7" xfId="698"/>
    <cellStyle name="Вычисление 8" xfId="699"/>
    <cellStyle name="Вычисление 9" xfId="700"/>
    <cellStyle name="Hyperlink" xfId="701"/>
    <cellStyle name="Currency" xfId="702"/>
    <cellStyle name="Currency [0]" xfId="703"/>
    <cellStyle name="Денежный 2" xfId="704"/>
    <cellStyle name="Денежный 2 2" xfId="705"/>
    <cellStyle name="Заголовок 1" xfId="706"/>
    <cellStyle name="Заголовок 1 2" xfId="707"/>
    <cellStyle name="Заголовок 1 2 2" xfId="708"/>
    <cellStyle name="Заголовок 1 3" xfId="709"/>
    <cellStyle name="Заголовок 1 4" xfId="710"/>
    <cellStyle name="Заголовок 1 5" xfId="711"/>
    <cellStyle name="Заголовок 1 6" xfId="712"/>
    <cellStyle name="Заголовок 1 7" xfId="713"/>
    <cellStyle name="Заголовок 1 8" xfId="714"/>
    <cellStyle name="Заголовок 1 9" xfId="715"/>
    <cellStyle name="Заголовок 2" xfId="716"/>
    <cellStyle name="Заголовок 2 2" xfId="717"/>
    <cellStyle name="Заголовок 2 2 2" xfId="718"/>
    <cellStyle name="Заголовок 2 3" xfId="719"/>
    <cellStyle name="Заголовок 2 4" xfId="720"/>
    <cellStyle name="Заголовок 2 5" xfId="721"/>
    <cellStyle name="Заголовок 2 6" xfId="722"/>
    <cellStyle name="Заголовок 2 7" xfId="723"/>
    <cellStyle name="Заголовок 2 8" xfId="724"/>
    <cellStyle name="Заголовок 2 9" xfId="725"/>
    <cellStyle name="Заголовок 3" xfId="726"/>
    <cellStyle name="Заголовок 3 2" xfId="727"/>
    <cellStyle name="Заголовок 3 2 2" xfId="728"/>
    <cellStyle name="Заголовок 3 3" xfId="729"/>
    <cellStyle name="Заголовок 3 4" xfId="730"/>
    <cellStyle name="Заголовок 3 5" xfId="731"/>
    <cellStyle name="Заголовок 3 6" xfId="732"/>
    <cellStyle name="Заголовок 3 7" xfId="733"/>
    <cellStyle name="Заголовок 3 8" xfId="734"/>
    <cellStyle name="Заголовок 3 9" xfId="735"/>
    <cellStyle name="Заголовок 4" xfId="736"/>
    <cellStyle name="Заголовок 4 2" xfId="737"/>
    <cellStyle name="Заголовок 4 2 2" xfId="738"/>
    <cellStyle name="Заголовок 4 3" xfId="739"/>
    <cellStyle name="Заголовок 4 4" xfId="740"/>
    <cellStyle name="Заголовок 4 5" xfId="741"/>
    <cellStyle name="Заголовок 4 6" xfId="742"/>
    <cellStyle name="Заголовок 4 7" xfId="743"/>
    <cellStyle name="Заголовок 4 8" xfId="744"/>
    <cellStyle name="Заголовок 4 9" xfId="745"/>
    <cellStyle name="Защитный" xfId="746"/>
    <cellStyle name="Итог" xfId="747"/>
    <cellStyle name="Итог 2" xfId="748"/>
    <cellStyle name="Итог 2 2" xfId="749"/>
    <cellStyle name="Итог 3" xfId="750"/>
    <cellStyle name="Итог 4" xfId="751"/>
    <cellStyle name="Итог 5" xfId="752"/>
    <cellStyle name="Итог 6" xfId="753"/>
    <cellStyle name="Итог 7" xfId="754"/>
    <cellStyle name="Итог 8" xfId="755"/>
    <cellStyle name="Итог 9" xfId="756"/>
    <cellStyle name="Контрольная ячейка" xfId="757"/>
    <cellStyle name="Контрольная ячейка 2" xfId="758"/>
    <cellStyle name="Контрольная ячейка 2 2" xfId="759"/>
    <cellStyle name="Контрольная ячейка 3" xfId="760"/>
    <cellStyle name="Контрольная ячейка 4" xfId="761"/>
    <cellStyle name="Контрольная ячейка 5" xfId="762"/>
    <cellStyle name="Контрольная ячейка 6" xfId="763"/>
    <cellStyle name="Контрольная ячейка 7" xfId="764"/>
    <cellStyle name="Контрольная ячейка 8" xfId="765"/>
    <cellStyle name="Контрольная ячейка 9" xfId="766"/>
    <cellStyle name="Название" xfId="767"/>
    <cellStyle name="Название 2" xfId="768"/>
    <cellStyle name="Нейтральный" xfId="769"/>
    <cellStyle name="Нейтральный 2" xfId="770"/>
    <cellStyle name="Нейтральный 2 2" xfId="771"/>
    <cellStyle name="Нейтральный 3" xfId="772"/>
    <cellStyle name="Нейтральный 4" xfId="773"/>
    <cellStyle name="Нейтральный 5" xfId="774"/>
    <cellStyle name="Нейтральный 6" xfId="775"/>
    <cellStyle name="Нейтральный 7" xfId="776"/>
    <cellStyle name="Нейтральный 8" xfId="777"/>
    <cellStyle name="Нейтральный 9" xfId="778"/>
    <cellStyle name="Обычный 2" xfId="779"/>
    <cellStyle name="Обычный 2 10" xfId="780"/>
    <cellStyle name="Обычный 2 11" xfId="781"/>
    <cellStyle name="Обычный 2 2" xfId="782"/>
    <cellStyle name="Обычный 2 3" xfId="783"/>
    <cellStyle name="Обычный 2 4" xfId="784"/>
    <cellStyle name="Обычный 2 5" xfId="785"/>
    <cellStyle name="Обычный 2 6" xfId="786"/>
    <cellStyle name="Обычный 2 7" xfId="787"/>
    <cellStyle name="Обычный 2 8" xfId="788"/>
    <cellStyle name="Обычный 2 9" xfId="789"/>
    <cellStyle name="Обычный 3" xfId="790"/>
    <cellStyle name="Обычный 4" xfId="791"/>
    <cellStyle name="Обычный 5" xfId="792"/>
    <cellStyle name="Обычный 5 2" xfId="793"/>
    <cellStyle name="Обычный_Основные показатели Амур1" xfId="794"/>
    <cellStyle name="Обычный_Приложение 1 (1)" xfId="795"/>
    <cellStyle name="Followed Hyperlink" xfId="796"/>
    <cellStyle name="Плохой" xfId="797"/>
    <cellStyle name="Плохой 2" xfId="798"/>
    <cellStyle name="Плохой 2 2" xfId="799"/>
    <cellStyle name="Плохой 3" xfId="800"/>
    <cellStyle name="Плохой 4" xfId="801"/>
    <cellStyle name="Плохой 5" xfId="802"/>
    <cellStyle name="Плохой 6" xfId="803"/>
    <cellStyle name="Плохой 7" xfId="804"/>
    <cellStyle name="Плохой 8" xfId="805"/>
    <cellStyle name="Плохой 9" xfId="806"/>
    <cellStyle name="Поле ввода" xfId="807"/>
    <cellStyle name="Пояснение" xfId="808"/>
    <cellStyle name="Пояснение 2" xfId="809"/>
    <cellStyle name="Пояснение 2 2" xfId="810"/>
    <cellStyle name="Пояснение 3" xfId="811"/>
    <cellStyle name="Пояснение 4" xfId="812"/>
    <cellStyle name="Пояснение 5" xfId="813"/>
    <cellStyle name="Пояснение 6" xfId="814"/>
    <cellStyle name="Пояснение 7" xfId="815"/>
    <cellStyle name="Пояснение 8" xfId="816"/>
    <cellStyle name="Пояснение 9" xfId="817"/>
    <cellStyle name="Примечание" xfId="818"/>
    <cellStyle name="Примечание 2" xfId="819"/>
    <cellStyle name="Примечание 2 2" xfId="820"/>
    <cellStyle name="Примечание 3" xfId="821"/>
    <cellStyle name="Примечание 4" xfId="822"/>
    <cellStyle name="Примечание 5" xfId="823"/>
    <cellStyle name="Примечание 6" xfId="824"/>
    <cellStyle name="Примечание 7" xfId="825"/>
    <cellStyle name="Примечание 8" xfId="826"/>
    <cellStyle name="Примечание 9" xfId="827"/>
    <cellStyle name="Percent" xfId="828"/>
    <cellStyle name="Процентный 2" xfId="829"/>
    <cellStyle name="Процентный 2 2" xfId="830"/>
    <cellStyle name="Процентный 3" xfId="831"/>
    <cellStyle name="Процентный 4" xfId="832"/>
    <cellStyle name="Процентный 4 2" xfId="833"/>
    <cellStyle name="Процентный 4 3" xfId="834"/>
    <cellStyle name="Процентный 5" xfId="835"/>
    <cellStyle name="Связанная ячейка" xfId="836"/>
    <cellStyle name="Связанная ячейка 2" xfId="837"/>
    <cellStyle name="Связанная ячейка 2 2" xfId="838"/>
    <cellStyle name="Связанная ячейка 3" xfId="839"/>
    <cellStyle name="Связанная ячейка 4" xfId="840"/>
    <cellStyle name="Связанная ячейка 5" xfId="841"/>
    <cellStyle name="Связанная ячейка 6" xfId="842"/>
    <cellStyle name="Связанная ячейка 7" xfId="843"/>
    <cellStyle name="Связанная ячейка 8" xfId="844"/>
    <cellStyle name="Связанная ячейка 9" xfId="845"/>
    <cellStyle name="Стиль 1" xfId="846"/>
    <cellStyle name="Стиль 1 2" xfId="847"/>
    <cellStyle name="Стиль 1 3" xfId="848"/>
    <cellStyle name="Стиль 1 4" xfId="849"/>
    <cellStyle name="Стиль 1 5" xfId="850"/>
    <cellStyle name="Стиль 1 6" xfId="851"/>
    <cellStyle name="Стиль 1 7" xfId="852"/>
    <cellStyle name="Стиль 1 8" xfId="853"/>
    <cellStyle name="Стиль 1 9" xfId="854"/>
    <cellStyle name="Текст предупреждения" xfId="855"/>
    <cellStyle name="Текст предупреждения 2" xfId="856"/>
    <cellStyle name="Текст предупреждения 2 2" xfId="857"/>
    <cellStyle name="Текст предупреждения 3" xfId="858"/>
    <cellStyle name="Текст предупреждения 4" xfId="859"/>
    <cellStyle name="Текст предупреждения 5" xfId="860"/>
    <cellStyle name="Текст предупреждения 6" xfId="861"/>
    <cellStyle name="Текст предупреждения 7" xfId="862"/>
    <cellStyle name="Текст предупреждения 8" xfId="863"/>
    <cellStyle name="Текст предупреждения 9" xfId="864"/>
    <cellStyle name="Тысячи [0]_27.02 скоррект. " xfId="865"/>
    <cellStyle name="Тысячи [а]" xfId="866"/>
    <cellStyle name="Тысячи_27.02 скоррект. " xfId="867"/>
    <cellStyle name="Comma" xfId="868"/>
    <cellStyle name="Comma [0]" xfId="869"/>
    <cellStyle name="Финансовый 2" xfId="870"/>
    <cellStyle name="Формулы" xfId="871"/>
    <cellStyle name="Хороший" xfId="872"/>
    <cellStyle name="Хороший 2" xfId="873"/>
    <cellStyle name="Хороший 2 2" xfId="874"/>
    <cellStyle name="Хороший 3" xfId="875"/>
    <cellStyle name="Хороший 4" xfId="876"/>
    <cellStyle name="Хороший 5" xfId="877"/>
    <cellStyle name="Хороший 6" xfId="878"/>
    <cellStyle name="Хороший 7" xfId="879"/>
    <cellStyle name="Хороший 8" xfId="880"/>
    <cellStyle name="Хороший 9" xfId="881"/>
    <cellStyle name="Џђћ–…ќ’ќ›‰" xfId="882"/>
    <cellStyle name="Џђћ–…ќ’ќ›‰ 2" xfId="883"/>
    <cellStyle name="Џђћ–…ќ’ќ›‰ 2 2" xfId="884"/>
    <cellStyle name="Џђћ–…ќ’ќ›‰ 3" xfId="885"/>
    <cellStyle name="ܘ_x0008_" xfId="886"/>
    <cellStyle name="ܘ_x0008_ 2" xfId="887"/>
    <cellStyle name="ܘ_x0008_?䈌Ȏ㘛䤀ጛܛ_x0008_?䨐Ȏ㘛䤀ጛܛ_x0008_?䉜Ȏ㘛伀ᤛ" xfId="888"/>
    <cellStyle name="ܘ_x0008_?䈌Ȏ㘛䤀ጛܛ_x0008_?䨐Ȏ㘛䤀ጛܛ_x0008_?䉜Ȏ㘛伀ᤛ 1" xfId="889"/>
    <cellStyle name="ܘ_x0008__Баланс 2008г (вода) 07.02.08" xfId="890"/>
    <cellStyle name="ܛ_x0008_" xfId="891"/>
    <cellStyle name="ܛ_x0008_ 2" xfId="892"/>
    <cellStyle name="ܛ_x0008_?䉜Ȏ㘛伀ᤛܛ_x0008_?偬Ȏ?ഀ഍č_x0001_?䊴Ȏ?ကတĐ_x0001_Ҡ" xfId="893"/>
    <cellStyle name="ܛ_x0008_?䉜Ȏ㘛伀ᤛܛ_x0008_?偬Ȏ?ഀ഍č_x0001_?䊴Ȏ?ကတĐ_x0001_Ҡ 1" xfId="894"/>
    <cellStyle name="ܛ_x0008_?䉜Ȏ㘛伀ᤛܛ_x0008_?偬Ȏ?ഀ഍č_x0001_?䊴Ȏ?ကတĐ_x0001_Ҡ 1 2" xfId="895"/>
    <cellStyle name="ܛ_x0008_?䉜Ȏ㘛伀ᤛܛ_x0008_?偬Ȏ?ഀ഍č_x0001_?䊴Ȏ?ကတĐ_x0001_Ҡ 2" xfId="896"/>
    <cellStyle name="ܛ_x0008_?䉜Ȏ㘛伀ᤛܛ_x0008_?偬Ȏ?ഀ഍č_x0001_?䊴Ȏ?ကတĐ_x0001_Ҡ_БДР С44о БДДС ок03" xfId="897"/>
    <cellStyle name="ܛ_x0008__Баланс 2008г (тепло)" xfId="898"/>
    <cellStyle name="㐀കܒ_x0008_" xfId="899"/>
    <cellStyle name="㐀കܒ_x0008_ 2" xfId="900"/>
    <cellStyle name="㐀കܒ_x0008_?䆴Ȏ㘛伀ᤛܛ_x0008_?䧀Ȏ〘䤀ᤘ" xfId="901"/>
    <cellStyle name="㐀കܒ_x0008_?䆴Ȏ㘛伀ᤛܛ_x0008_?䧀Ȏ〘䤀ᤘ 1" xfId="902"/>
    <cellStyle name="㐀കܒ_x0008_?䆴Ȏ㘛伀ᤛܛ_x0008_?䧀Ȏ〘䤀ᤘ 1 2" xfId="903"/>
    <cellStyle name="㐀കܒ_x0008_?䆴Ȏ㘛伀ᤛܛ_x0008_?䧀Ȏ〘䤀ᤘ 2" xfId="904"/>
    <cellStyle name="㐀കܒ_x0008_?䆴Ȏ㘛伀ᤛܛ_x0008_?䧀Ȏ〘䤀ᤘ_БДР С44о БДДС ок03" xfId="905"/>
    <cellStyle name="㼿㼿㼿㼿㼿" xfId="906"/>
    <cellStyle name="㼿㼿㼿㼿㼿 2" xfId="9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184"/>
  <sheetViews>
    <sheetView tabSelected="1" view="pageBreakPreview" zoomScale="80" zoomScaleNormal="60" zoomScaleSheetLayoutView="80" zoomScalePageLayoutView="0" workbookViewId="0" topLeftCell="A1">
      <pane xSplit="3" topLeftCell="CS1" activePane="topRight" state="frozen"/>
      <selection pane="topLeft" activeCell="A4" sqref="A4"/>
      <selection pane="topRight" activeCell="DI40" sqref="DI40"/>
    </sheetView>
  </sheetViews>
  <sheetFormatPr defaultColWidth="9.00390625" defaultRowHeight="12.75"/>
  <cols>
    <col min="1" max="1" width="9.125" style="1" customWidth="1"/>
    <col min="2" max="2" width="46.375" style="3" customWidth="1"/>
    <col min="3" max="3" width="17.125" style="3" customWidth="1"/>
    <col min="4" max="4" width="14.375" style="3" hidden="1" customWidth="1"/>
    <col min="5" max="5" width="14.125" style="3" hidden="1" customWidth="1"/>
    <col min="6" max="7" width="13.125" style="3" hidden="1" customWidth="1"/>
    <col min="8" max="8" width="14.75390625" style="3" hidden="1" customWidth="1"/>
    <col min="9" max="9" width="15.25390625" style="3" hidden="1" customWidth="1"/>
    <col min="10" max="10" width="15.625" style="3" hidden="1" customWidth="1"/>
    <col min="11" max="20" width="14.375" style="3" hidden="1" customWidth="1"/>
    <col min="21" max="21" width="14.875" style="3" hidden="1" customWidth="1"/>
    <col min="22" max="22" width="14.375" style="3" hidden="1" customWidth="1"/>
    <col min="23" max="24" width="16.75390625" style="3" hidden="1" customWidth="1"/>
    <col min="25" max="26" width="13.625" style="3" hidden="1" customWidth="1"/>
    <col min="27" max="27" width="14.375" style="3" hidden="1" customWidth="1"/>
    <col min="28" max="28" width="14.625" style="3" hidden="1" customWidth="1"/>
    <col min="29" max="43" width="14.375" style="3" hidden="1" customWidth="1"/>
    <col min="44" max="44" width="16.75390625" style="3" hidden="1" customWidth="1"/>
    <col min="45" max="45" width="14.375" style="3" hidden="1" customWidth="1"/>
    <col min="46" max="46" width="16.00390625" style="3" hidden="1" customWidth="1"/>
    <col min="47" max="50" width="14.375" style="3" hidden="1" customWidth="1"/>
    <col min="51" max="52" width="18.875" style="3" hidden="1" customWidth="1"/>
    <col min="53" max="53" width="14.375" style="3" hidden="1" customWidth="1"/>
    <col min="54" max="54" width="18.625" style="3" hidden="1" customWidth="1"/>
    <col min="55" max="60" width="14.375" style="3" hidden="1" customWidth="1"/>
    <col min="61" max="61" width="17.00390625" style="3" hidden="1" customWidth="1"/>
    <col min="62" max="62" width="20.875" style="3" hidden="1" customWidth="1"/>
    <col min="63" max="63" width="14.375" style="3" hidden="1" customWidth="1"/>
    <col min="64" max="64" width="11.25390625" style="3" hidden="1" customWidth="1"/>
    <col min="65" max="79" width="15.75390625" style="3" hidden="1" customWidth="1"/>
    <col min="80" max="80" width="11.625" style="3" hidden="1" customWidth="1"/>
    <col min="81" max="85" width="15.75390625" style="3" hidden="1" customWidth="1"/>
    <col min="86" max="86" width="16.375" style="147" hidden="1" customWidth="1"/>
    <col min="87" max="88" width="15.75390625" style="3" hidden="1" customWidth="1"/>
    <col min="89" max="89" width="11.75390625" style="3" hidden="1" customWidth="1"/>
    <col min="90" max="90" width="11.125" style="3" hidden="1" customWidth="1"/>
    <col min="91" max="91" width="12.25390625" style="3" hidden="1" customWidth="1"/>
    <col min="92" max="92" width="13.375" style="3" hidden="1" customWidth="1"/>
    <col min="93" max="94" width="16.00390625" style="3" hidden="1" customWidth="1"/>
    <col min="95" max="95" width="15.625" style="3" hidden="1" customWidth="1"/>
    <col min="96" max="96" width="11.875" style="3" hidden="1" customWidth="1"/>
    <col min="97" max="97" width="12.125" style="3" hidden="1" customWidth="1"/>
    <col min="98" max="98" width="12.625" style="3" hidden="1" customWidth="1"/>
    <col min="99" max="99" width="12.75390625" style="3" hidden="1" customWidth="1"/>
    <col min="100" max="100" width="13.25390625" style="3" hidden="1" customWidth="1"/>
    <col min="101" max="101" width="14.25390625" style="3" hidden="1" customWidth="1"/>
    <col min="102" max="102" width="15.75390625" style="3" hidden="1" customWidth="1"/>
    <col min="103" max="103" width="14.375" style="3" hidden="1" customWidth="1"/>
    <col min="104" max="104" width="11.625" style="3" hidden="1" customWidth="1"/>
    <col min="105" max="105" width="15.75390625" style="3" customWidth="1"/>
    <col min="106" max="109" width="14.375" style="3" hidden="1" customWidth="1"/>
    <col min="110" max="110" width="16.625" style="3" customWidth="1"/>
    <col min="111" max="111" width="13.625" style="3" customWidth="1"/>
    <col min="112" max="16384" width="9.125" style="3" customWidth="1"/>
  </cols>
  <sheetData>
    <row r="1" ht="20.25">
      <c r="B1" s="2" t="s">
        <v>261</v>
      </c>
    </row>
    <row r="2" spans="82:85" ht="15">
      <c r="CD2" s="147"/>
      <c r="CG2" s="147"/>
    </row>
    <row r="3" ht="15.75" thickBot="1">
      <c r="CP3" s="147"/>
    </row>
    <row r="4" spans="1:109" ht="21.75" customHeight="1">
      <c r="A4" s="206" t="s">
        <v>7</v>
      </c>
      <c r="B4" s="209" t="s">
        <v>8</v>
      </c>
      <c r="C4" s="212" t="s">
        <v>9</v>
      </c>
      <c r="D4" s="200" t="s">
        <v>10</v>
      </c>
      <c r="E4" s="200"/>
      <c r="F4" s="200"/>
      <c r="G4" s="200"/>
      <c r="H4" s="200"/>
      <c r="I4" s="200"/>
      <c r="J4" s="200"/>
      <c r="K4" s="200"/>
      <c r="L4" s="200"/>
      <c r="M4" s="200" t="s">
        <v>11</v>
      </c>
      <c r="N4" s="200"/>
      <c r="O4" s="200"/>
      <c r="P4" s="200"/>
      <c r="Q4" s="200"/>
      <c r="R4" s="200"/>
      <c r="S4" s="200"/>
      <c r="T4" s="200"/>
      <c r="U4" s="200"/>
      <c r="V4" s="200" t="s">
        <v>12</v>
      </c>
      <c r="W4" s="200"/>
      <c r="X4" s="200"/>
      <c r="Y4" s="200"/>
      <c r="Z4" s="200"/>
      <c r="AA4" s="200"/>
      <c r="AB4" s="200"/>
      <c r="AC4" s="200"/>
      <c r="AD4" s="200"/>
      <c r="AE4" s="200" t="s">
        <v>13</v>
      </c>
      <c r="AF4" s="200"/>
      <c r="AG4" s="200"/>
      <c r="AH4" s="200"/>
      <c r="AI4" s="200"/>
      <c r="AJ4" s="200"/>
      <c r="AK4" s="200"/>
      <c r="AL4" s="200"/>
      <c r="AM4" s="200"/>
      <c r="AN4" s="200" t="s">
        <v>14</v>
      </c>
      <c r="AO4" s="200"/>
      <c r="AP4" s="200"/>
      <c r="AQ4" s="200"/>
      <c r="AR4" s="200"/>
      <c r="AS4" s="200"/>
      <c r="AT4" s="200"/>
      <c r="AU4" s="200"/>
      <c r="AV4" s="200"/>
      <c r="AW4" s="200" t="s">
        <v>15</v>
      </c>
      <c r="AX4" s="200"/>
      <c r="AY4" s="200"/>
      <c r="AZ4" s="200"/>
      <c r="BA4" s="200"/>
      <c r="BB4" s="200"/>
      <c r="BC4" s="200"/>
      <c r="BD4" s="200"/>
      <c r="BE4" s="200" t="s">
        <v>16</v>
      </c>
      <c r="BF4" s="200"/>
      <c r="BG4" s="200"/>
      <c r="BH4" s="200"/>
      <c r="BI4" s="200"/>
      <c r="BJ4" s="200"/>
      <c r="BK4" s="200"/>
      <c r="BL4" s="200"/>
      <c r="BM4" s="200" t="s">
        <v>17</v>
      </c>
      <c r="BN4" s="200"/>
      <c r="BO4" s="200"/>
      <c r="BP4" s="200"/>
      <c r="BQ4" s="200"/>
      <c r="BR4" s="200"/>
      <c r="BS4" s="200"/>
      <c r="BT4" s="200"/>
      <c r="BU4" s="200" t="s">
        <v>18</v>
      </c>
      <c r="BV4" s="200"/>
      <c r="BW4" s="200"/>
      <c r="BX4" s="200"/>
      <c r="BY4" s="200"/>
      <c r="BZ4" s="200"/>
      <c r="CA4" s="200"/>
      <c r="CB4" s="200"/>
      <c r="CC4" s="200" t="s">
        <v>19</v>
      </c>
      <c r="CD4" s="200"/>
      <c r="CE4" s="200"/>
      <c r="CF4" s="200"/>
      <c r="CG4" s="200"/>
      <c r="CH4" s="200"/>
      <c r="CI4" s="200"/>
      <c r="CJ4" s="200"/>
      <c r="CK4" s="200" t="s">
        <v>20</v>
      </c>
      <c r="CL4" s="200"/>
      <c r="CM4" s="200"/>
      <c r="CN4" s="200"/>
      <c r="CO4" s="200"/>
      <c r="CP4" s="200"/>
      <c r="CQ4" s="200"/>
      <c r="CR4" s="200"/>
      <c r="CS4" s="200" t="s">
        <v>21</v>
      </c>
      <c r="CT4" s="200"/>
      <c r="CU4" s="200"/>
      <c r="CV4" s="200"/>
      <c r="CW4" s="200"/>
      <c r="CX4" s="200"/>
      <c r="CY4" s="200"/>
      <c r="CZ4" s="215"/>
      <c r="DA4" s="225">
        <v>2022</v>
      </c>
      <c r="DB4" s="216" t="s">
        <v>249</v>
      </c>
      <c r="DC4" s="200"/>
      <c r="DD4" s="200"/>
      <c r="DE4" s="215"/>
    </row>
    <row r="5" spans="1:109" ht="25.5" customHeight="1">
      <c r="A5" s="207"/>
      <c r="B5" s="210"/>
      <c r="C5" s="213"/>
      <c r="D5" s="49">
        <v>2016</v>
      </c>
      <c r="E5" s="137">
        <v>2017</v>
      </c>
      <c r="F5" s="137">
        <v>2018</v>
      </c>
      <c r="G5" s="137">
        <v>2019</v>
      </c>
      <c r="H5" s="137">
        <v>2020</v>
      </c>
      <c r="I5" s="201" t="s">
        <v>263</v>
      </c>
      <c r="J5" s="202"/>
      <c r="K5" s="202"/>
      <c r="L5" s="203"/>
      <c r="M5" s="49">
        <v>2016</v>
      </c>
      <c r="N5" s="137">
        <v>2017</v>
      </c>
      <c r="O5" s="137">
        <v>2018</v>
      </c>
      <c r="P5" s="137">
        <v>2019</v>
      </c>
      <c r="Q5" s="137">
        <v>2020</v>
      </c>
      <c r="R5" s="201" t="s">
        <v>263</v>
      </c>
      <c r="S5" s="202"/>
      <c r="T5" s="202"/>
      <c r="U5" s="203"/>
      <c r="V5" s="49">
        <v>2016</v>
      </c>
      <c r="W5" s="137">
        <v>2017</v>
      </c>
      <c r="X5" s="137">
        <v>2018</v>
      </c>
      <c r="Y5" s="137">
        <v>2019</v>
      </c>
      <c r="Z5" s="137">
        <v>2020</v>
      </c>
      <c r="AA5" s="201" t="s">
        <v>263</v>
      </c>
      <c r="AB5" s="202"/>
      <c r="AC5" s="202"/>
      <c r="AD5" s="203"/>
      <c r="AE5" s="49">
        <v>2016</v>
      </c>
      <c r="AF5" s="137">
        <v>2017</v>
      </c>
      <c r="AG5" s="137">
        <v>2018</v>
      </c>
      <c r="AH5" s="137">
        <v>2019</v>
      </c>
      <c r="AI5" s="137">
        <v>2020</v>
      </c>
      <c r="AJ5" s="201" t="s">
        <v>262</v>
      </c>
      <c r="AK5" s="202"/>
      <c r="AL5" s="202"/>
      <c r="AM5" s="203"/>
      <c r="AN5" s="49">
        <v>2016</v>
      </c>
      <c r="AO5" s="137">
        <v>2017</v>
      </c>
      <c r="AP5" s="137">
        <v>2018</v>
      </c>
      <c r="AQ5" s="137">
        <v>2019</v>
      </c>
      <c r="AR5" s="137">
        <v>2020</v>
      </c>
      <c r="AS5" s="201" t="s">
        <v>263</v>
      </c>
      <c r="AT5" s="202"/>
      <c r="AU5" s="202"/>
      <c r="AV5" s="203"/>
      <c r="AW5" s="49">
        <v>2017</v>
      </c>
      <c r="AX5" s="137">
        <v>2018</v>
      </c>
      <c r="AY5" s="137">
        <v>2019</v>
      </c>
      <c r="AZ5" s="49">
        <v>2020</v>
      </c>
      <c r="BA5" s="201" t="s">
        <v>263</v>
      </c>
      <c r="BB5" s="202"/>
      <c r="BC5" s="202"/>
      <c r="BD5" s="203"/>
      <c r="BE5" s="49">
        <v>2017</v>
      </c>
      <c r="BF5" s="137">
        <v>2018</v>
      </c>
      <c r="BG5" s="137">
        <v>2019</v>
      </c>
      <c r="BH5" s="137">
        <v>2020</v>
      </c>
      <c r="BI5" s="201" t="s">
        <v>263</v>
      </c>
      <c r="BJ5" s="202"/>
      <c r="BK5" s="202"/>
      <c r="BL5" s="203"/>
      <c r="BM5" s="49">
        <v>2017</v>
      </c>
      <c r="BN5" s="49">
        <v>2018</v>
      </c>
      <c r="BO5" s="49">
        <v>2019</v>
      </c>
      <c r="BP5" s="49">
        <v>2020</v>
      </c>
      <c r="BQ5" s="201" t="s">
        <v>263</v>
      </c>
      <c r="BR5" s="202"/>
      <c r="BS5" s="202"/>
      <c r="BT5" s="203"/>
      <c r="BU5" s="49">
        <v>2017</v>
      </c>
      <c r="BV5" s="137">
        <v>2018</v>
      </c>
      <c r="BW5" s="137">
        <v>2019</v>
      </c>
      <c r="BX5" s="137">
        <v>2020</v>
      </c>
      <c r="BY5" s="201" t="s">
        <v>262</v>
      </c>
      <c r="BZ5" s="202"/>
      <c r="CA5" s="202"/>
      <c r="CB5" s="203"/>
      <c r="CC5" s="137">
        <v>2017</v>
      </c>
      <c r="CD5" s="137">
        <v>2018</v>
      </c>
      <c r="CE5" s="137">
        <v>2019</v>
      </c>
      <c r="CF5" s="137">
        <v>2020</v>
      </c>
      <c r="CG5" s="201" t="s">
        <v>263</v>
      </c>
      <c r="CH5" s="202"/>
      <c r="CI5" s="202"/>
      <c r="CJ5" s="203"/>
      <c r="CK5" s="49">
        <v>2017</v>
      </c>
      <c r="CL5" s="137">
        <v>2018</v>
      </c>
      <c r="CM5" s="137">
        <v>2019</v>
      </c>
      <c r="CN5" s="137">
        <v>2020</v>
      </c>
      <c r="CO5" s="201" t="s">
        <v>263</v>
      </c>
      <c r="CP5" s="202"/>
      <c r="CQ5" s="202"/>
      <c r="CR5" s="203"/>
      <c r="CS5" s="49">
        <v>2017</v>
      </c>
      <c r="CT5" s="137">
        <v>2018</v>
      </c>
      <c r="CU5" s="137">
        <v>2019</v>
      </c>
      <c r="CV5" s="137">
        <v>2020</v>
      </c>
      <c r="CW5" s="201" t="s">
        <v>262</v>
      </c>
      <c r="CX5" s="202"/>
      <c r="CY5" s="202"/>
      <c r="CZ5" s="203"/>
      <c r="DA5" s="226"/>
      <c r="DB5" s="217" t="s">
        <v>260</v>
      </c>
      <c r="DC5" s="202"/>
      <c r="DD5" s="202"/>
      <c r="DE5" s="218"/>
    </row>
    <row r="6" spans="1:109" ht="42.75" customHeight="1">
      <c r="A6" s="208"/>
      <c r="B6" s="211"/>
      <c r="C6" s="214"/>
      <c r="D6" s="49" t="s">
        <v>3</v>
      </c>
      <c r="E6" s="49" t="s">
        <v>3</v>
      </c>
      <c r="F6" s="49" t="s">
        <v>3</v>
      </c>
      <c r="G6" s="49" t="s">
        <v>3</v>
      </c>
      <c r="H6" s="49" t="s">
        <v>3</v>
      </c>
      <c r="I6" s="49" t="s">
        <v>22</v>
      </c>
      <c r="J6" s="49" t="s">
        <v>3</v>
      </c>
      <c r="K6" s="204" t="s">
        <v>23</v>
      </c>
      <c r="L6" s="205"/>
      <c r="M6" s="49" t="s">
        <v>3</v>
      </c>
      <c r="N6" s="49" t="s">
        <v>3</v>
      </c>
      <c r="O6" s="49" t="s">
        <v>3</v>
      </c>
      <c r="P6" s="49" t="s">
        <v>3</v>
      </c>
      <c r="Q6" s="49" t="s">
        <v>3</v>
      </c>
      <c r="R6" s="49" t="s">
        <v>22</v>
      </c>
      <c r="S6" s="49" t="s">
        <v>3</v>
      </c>
      <c r="T6" s="204" t="s">
        <v>23</v>
      </c>
      <c r="U6" s="205"/>
      <c r="V6" s="49" t="s">
        <v>3</v>
      </c>
      <c r="W6" s="49" t="s">
        <v>3</v>
      </c>
      <c r="X6" s="49" t="s">
        <v>3</v>
      </c>
      <c r="Y6" s="49" t="s">
        <v>3</v>
      </c>
      <c r="Z6" s="49" t="s">
        <v>3</v>
      </c>
      <c r="AA6" s="49" t="s">
        <v>22</v>
      </c>
      <c r="AB6" s="49" t="s">
        <v>3</v>
      </c>
      <c r="AC6" s="204" t="s">
        <v>23</v>
      </c>
      <c r="AD6" s="205"/>
      <c r="AE6" s="49" t="s">
        <v>3</v>
      </c>
      <c r="AF6" s="49" t="s">
        <v>3</v>
      </c>
      <c r="AG6" s="49" t="s">
        <v>3</v>
      </c>
      <c r="AH6" s="49" t="s">
        <v>3</v>
      </c>
      <c r="AI6" s="49" t="s">
        <v>3</v>
      </c>
      <c r="AJ6" s="49" t="s">
        <v>22</v>
      </c>
      <c r="AK6" s="49" t="s">
        <v>3</v>
      </c>
      <c r="AL6" s="204" t="s">
        <v>23</v>
      </c>
      <c r="AM6" s="205"/>
      <c r="AN6" s="49" t="s">
        <v>3</v>
      </c>
      <c r="AO6" s="49" t="s">
        <v>3</v>
      </c>
      <c r="AP6" s="49" t="s">
        <v>3</v>
      </c>
      <c r="AQ6" s="49" t="s">
        <v>3</v>
      </c>
      <c r="AR6" s="49" t="s">
        <v>3</v>
      </c>
      <c r="AS6" s="49" t="s">
        <v>22</v>
      </c>
      <c r="AT6" s="49" t="s">
        <v>3</v>
      </c>
      <c r="AU6" s="204" t="s">
        <v>23</v>
      </c>
      <c r="AV6" s="205"/>
      <c r="AW6" s="49" t="s">
        <v>3</v>
      </c>
      <c r="AX6" s="49" t="s">
        <v>3</v>
      </c>
      <c r="AY6" s="49" t="s">
        <v>3</v>
      </c>
      <c r="AZ6" s="49" t="s">
        <v>3</v>
      </c>
      <c r="BA6" s="49" t="s">
        <v>22</v>
      </c>
      <c r="BB6" s="49" t="s">
        <v>3</v>
      </c>
      <c r="BC6" s="204" t="s">
        <v>23</v>
      </c>
      <c r="BD6" s="205"/>
      <c r="BE6" s="49" t="s">
        <v>3</v>
      </c>
      <c r="BF6" s="49" t="s">
        <v>3</v>
      </c>
      <c r="BG6" s="49" t="s">
        <v>3</v>
      </c>
      <c r="BH6" s="49" t="s">
        <v>3</v>
      </c>
      <c r="BI6" s="49" t="s">
        <v>22</v>
      </c>
      <c r="BJ6" s="49" t="s">
        <v>3</v>
      </c>
      <c r="BK6" s="204" t="s">
        <v>23</v>
      </c>
      <c r="BL6" s="205"/>
      <c r="BM6" s="49" t="s">
        <v>3</v>
      </c>
      <c r="BN6" s="49" t="s">
        <v>3</v>
      </c>
      <c r="BO6" s="49" t="s">
        <v>3</v>
      </c>
      <c r="BP6" s="49" t="s">
        <v>3</v>
      </c>
      <c r="BQ6" s="49" t="s">
        <v>22</v>
      </c>
      <c r="BR6" s="49" t="s">
        <v>3</v>
      </c>
      <c r="BS6" s="204" t="s">
        <v>23</v>
      </c>
      <c r="BT6" s="205"/>
      <c r="BU6" s="49" t="s">
        <v>3</v>
      </c>
      <c r="BV6" s="49" t="s">
        <v>3</v>
      </c>
      <c r="BW6" s="49" t="s">
        <v>3</v>
      </c>
      <c r="BX6" s="49" t="s">
        <v>3</v>
      </c>
      <c r="BY6" s="49" t="s">
        <v>22</v>
      </c>
      <c r="BZ6" s="49" t="s">
        <v>3</v>
      </c>
      <c r="CA6" s="204" t="s">
        <v>23</v>
      </c>
      <c r="CB6" s="205"/>
      <c r="CC6" s="49" t="s">
        <v>3</v>
      </c>
      <c r="CD6" s="49" t="s">
        <v>3</v>
      </c>
      <c r="CE6" s="49" t="s">
        <v>3</v>
      </c>
      <c r="CF6" s="167" t="s">
        <v>3</v>
      </c>
      <c r="CG6" s="49" t="s">
        <v>22</v>
      </c>
      <c r="CH6" s="167" t="s">
        <v>3</v>
      </c>
      <c r="CI6" s="204" t="s">
        <v>23</v>
      </c>
      <c r="CJ6" s="205"/>
      <c r="CK6" s="49" t="s">
        <v>3</v>
      </c>
      <c r="CL6" s="49" t="s">
        <v>3</v>
      </c>
      <c r="CM6" s="49" t="s">
        <v>3</v>
      </c>
      <c r="CN6" s="49" t="s">
        <v>3</v>
      </c>
      <c r="CO6" s="49" t="s">
        <v>22</v>
      </c>
      <c r="CP6" s="49" t="s">
        <v>3</v>
      </c>
      <c r="CQ6" s="204" t="s">
        <v>23</v>
      </c>
      <c r="CR6" s="205"/>
      <c r="CS6" s="49" t="s">
        <v>3</v>
      </c>
      <c r="CT6" s="49" t="s">
        <v>3</v>
      </c>
      <c r="CU6" s="49" t="s">
        <v>3</v>
      </c>
      <c r="CV6" s="49" t="s">
        <v>3</v>
      </c>
      <c r="CW6" s="49" t="s">
        <v>22</v>
      </c>
      <c r="CX6" s="49" t="s">
        <v>3</v>
      </c>
      <c r="CY6" s="204" t="s">
        <v>23</v>
      </c>
      <c r="CZ6" s="219"/>
      <c r="DA6" s="49" t="s">
        <v>3</v>
      </c>
      <c r="DB6" s="58" t="s">
        <v>22</v>
      </c>
      <c r="DC6" s="49" t="s">
        <v>3</v>
      </c>
      <c r="DD6" s="204" t="s">
        <v>23</v>
      </c>
      <c r="DE6" s="219"/>
    </row>
    <row r="7" spans="1:109" ht="15">
      <c r="A7" s="96"/>
      <c r="B7" s="4"/>
      <c r="C7" s="4"/>
      <c r="D7" s="5"/>
      <c r="E7" s="4"/>
      <c r="F7" s="5"/>
      <c r="G7" s="5"/>
      <c r="H7" s="5"/>
      <c r="I7" s="5">
        <v>10</v>
      </c>
      <c r="J7" s="4">
        <v>11</v>
      </c>
      <c r="K7" s="5">
        <v>12</v>
      </c>
      <c r="L7" s="4">
        <v>13</v>
      </c>
      <c r="M7" s="5">
        <v>14</v>
      </c>
      <c r="N7" s="4">
        <v>15</v>
      </c>
      <c r="O7" s="5"/>
      <c r="P7" s="5"/>
      <c r="Q7" s="5"/>
      <c r="R7" s="5">
        <v>16</v>
      </c>
      <c r="S7" s="4">
        <v>17</v>
      </c>
      <c r="T7" s="5">
        <v>18</v>
      </c>
      <c r="U7" s="4">
        <v>19</v>
      </c>
      <c r="V7" s="5">
        <v>20</v>
      </c>
      <c r="W7" s="4">
        <v>21</v>
      </c>
      <c r="X7" s="5"/>
      <c r="Y7" s="5"/>
      <c r="Z7" s="5"/>
      <c r="AA7" s="5">
        <v>22</v>
      </c>
      <c r="AB7" s="4">
        <v>23</v>
      </c>
      <c r="AC7" s="5">
        <v>24</v>
      </c>
      <c r="AD7" s="4">
        <v>25</v>
      </c>
      <c r="AE7" s="4">
        <v>27</v>
      </c>
      <c r="AF7" s="4">
        <v>28</v>
      </c>
      <c r="AG7" s="5"/>
      <c r="AH7" s="5"/>
      <c r="AI7" s="5"/>
      <c r="AJ7" s="5">
        <v>29</v>
      </c>
      <c r="AK7" s="4">
        <v>30</v>
      </c>
      <c r="AL7" s="5">
        <v>30</v>
      </c>
      <c r="AM7" s="4">
        <v>31</v>
      </c>
      <c r="AN7" s="4">
        <v>33</v>
      </c>
      <c r="AO7" s="5"/>
      <c r="AP7" s="5"/>
      <c r="AQ7" s="5"/>
      <c r="AR7" s="4">
        <v>35</v>
      </c>
      <c r="AS7" s="5">
        <v>34</v>
      </c>
      <c r="AT7" s="4">
        <v>35</v>
      </c>
      <c r="AU7" s="5">
        <v>36</v>
      </c>
      <c r="AV7" s="4">
        <v>37</v>
      </c>
      <c r="AW7" s="4">
        <v>39</v>
      </c>
      <c r="AX7" s="5"/>
      <c r="AY7" s="5"/>
      <c r="AZ7" s="5">
        <v>38</v>
      </c>
      <c r="BA7" s="5">
        <v>40</v>
      </c>
      <c r="BB7" s="4">
        <v>41</v>
      </c>
      <c r="BC7" s="5">
        <v>42</v>
      </c>
      <c r="BD7" s="4">
        <v>43</v>
      </c>
      <c r="BE7" s="4">
        <v>45</v>
      </c>
      <c r="BF7" s="5"/>
      <c r="BG7" s="5"/>
      <c r="BH7" s="4">
        <v>47</v>
      </c>
      <c r="BI7" s="5">
        <v>46</v>
      </c>
      <c r="BJ7" s="4">
        <v>47</v>
      </c>
      <c r="BK7" s="5">
        <v>48</v>
      </c>
      <c r="BL7" s="4">
        <v>49</v>
      </c>
      <c r="BM7" s="5">
        <v>50</v>
      </c>
      <c r="BN7" s="4">
        <v>51</v>
      </c>
      <c r="BO7" s="5"/>
      <c r="BP7" s="5"/>
      <c r="BQ7" s="5">
        <v>52</v>
      </c>
      <c r="BR7" s="4">
        <v>53</v>
      </c>
      <c r="BS7" s="5">
        <v>54</v>
      </c>
      <c r="BT7" s="4">
        <v>55</v>
      </c>
      <c r="BU7" s="4">
        <v>57</v>
      </c>
      <c r="BV7" s="5"/>
      <c r="BW7" s="5"/>
      <c r="BX7" s="5"/>
      <c r="BY7" s="5">
        <v>58</v>
      </c>
      <c r="BZ7" s="4">
        <v>59</v>
      </c>
      <c r="CA7" s="5">
        <v>60</v>
      </c>
      <c r="CB7" s="4">
        <v>61</v>
      </c>
      <c r="CC7" s="5"/>
      <c r="CD7" s="5"/>
      <c r="CE7" s="5"/>
      <c r="CF7" s="168">
        <v>65</v>
      </c>
      <c r="CG7" s="5">
        <v>64</v>
      </c>
      <c r="CH7" s="168">
        <v>65</v>
      </c>
      <c r="CI7" s="5">
        <v>66</v>
      </c>
      <c r="CJ7" s="4">
        <v>67</v>
      </c>
      <c r="CK7" s="4">
        <v>69</v>
      </c>
      <c r="CL7" s="5"/>
      <c r="CM7" s="5"/>
      <c r="CN7" s="4">
        <v>71</v>
      </c>
      <c r="CO7" s="5">
        <v>70</v>
      </c>
      <c r="CP7" s="4">
        <v>71</v>
      </c>
      <c r="CQ7" s="5">
        <v>72</v>
      </c>
      <c r="CR7" s="4">
        <v>73</v>
      </c>
      <c r="CS7" s="4">
        <v>75</v>
      </c>
      <c r="CT7" s="5"/>
      <c r="CU7" s="5"/>
      <c r="CV7" s="5"/>
      <c r="CW7" s="5">
        <v>76</v>
      </c>
      <c r="CX7" s="4">
        <v>77</v>
      </c>
      <c r="CY7" s="5">
        <v>78</v>
      </c>
      <c r="CZ7" s="60">
        <v>79</v>
      </c>
      <c r="DA7" s="4">
        <v>83</v>
      </c>
      <c r="DB7" s="59">
        <v>86</v>
      </c>
      <c r="DC7" s="4">
        <v>87</v>
      </c>
      <c r="DD7" s="5">
        <v>88</v>
      </c>
      <c r="DE7" s="60">
        <v>89</v>
      </c>
    </row>
    <row r="8" spans="1:109" s="8" customFormat="1" ht="18.75" hidden="1">
      <c r="A8" s="97">
        <v>1</v>
      </c>
      <c r="B8" s="6" t="s">
        <v>24</v>
      </c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169"/>
      <c r="CG8" s="7"/>
      <c r="CH8" s="169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62"/>
      <c r="DA8" s="7"/>
      <c r="DB8" s="61"/>
      <c r="DC8" s="7"/>
      <c r="DD8" s="7"/>
      <c r="DE8" s="62"/>
    </row>
    <row r="9" spans="1:109" s="8" customFormat="1" ht="18.75" hidden="1">
      <c r="A9" s="97">
        <v>2</v>
      </c>
      <c r="B9" s="9" t="s">
        <v>25</v>
      </c>
      <c r="C9" s="10" t="s">
        <v>0</v>
      </c>
      <c r="D9" s="11">
        <f>SUM(D10:D13)</f>
        <v>0</v>
      </c>
      <c r="E9" s="11">
        <f>SUM(E10:E13)</f>
        <v>0</v>
      </c>
      <c r="F9" s="11"/>
      <c r="G9" s="11"/>
      <c r="H9" s="11"/>
      <c r="I9" s="11">
        <f>SUM(I10:I13)</f>
        <v>0</v>
      </c>
      <c r="J9" s="11">
        <f>SUM(J10:J13)</f>
        <v>0</v>
      </c>
      <c r="K9" s="11">
        <f>J9-I9</f>
        <v>0</v>
      </c>
      <c r="L9" s="11" t="e">
        <f>K9/I9</f>
        <v>#DIV/0!</v>
      </c>
      <c r="M9" s="11">
        <f>SUM(M10:M13)</f>
        <v>0</v>
      </c>
      <c r="N9" s="11">
        <f>SUM(N10:N13)</f>
        <v>0</v>
      </c>
      <c r="O9" s="11"/>
      <c r="P9" s="11"/>
      <c r="Q9" s="11"/>
      <c r="R9" s="11">
        <f>SUM(R10:R13)</f>
        <v>0</v>
      </c>
      <c r="S9" s="11">
        <f>SUM(S10:S13)</f>
        <v>0</v>
      </c>
      <c r="T9" s="11">
        <f>S9-R9</f>
        <v>0</v>
      </c>
      <c r="U9" s="11" t="e">
        <f>T9/R9</f>
        <v>#DIV/0!</v>
      </c>
      <c r="V9" s="11">
        <f>SUM(V10:V13)</f>
        <v>0</v>
      </c>
      <c r="W9" s="11">
        <f>SUM(W10:W13)</f>
        <v>0</v>
      </c>
      <c r="X9" s="11"/>
      <c r="Y9" s="11"/>
      <c r="Z9" s="11"/>
      <c r="AA9" s="11">
        <f>SUM(AA10:AA13)</f>
        <v>0</v>
      </c>
      <c r="AB9" s="11">
        <f>SUM(AB10:AB13)</f>
        <v>0</v>
      </c>
      <c r="AC9" s="11">
        <f>AB9-AA9</f>
        <v>0</v>
      </c>
      <c r="AD9" s="11" t="e">
        <f>AC9/AA9</f>
        <v>#DIV/0!</v>
      </c>
      <c r="AE9" s="11">
        <f>SUM(AE10:AE13)</f>
        <v>0</v>
      </c>
      <c r="AF9" s="11">
        <f>SUM(AF10:AF13)</f>
        <v>0</v>
      </c>
      <c r="AG9" s="11"/>
      <c r="AH9" s="11"/>
      <c r="AI9" s="11"/>
      <c r="AJ9" s="11">
        <f>SUM(AJ10:AJ13)</f>
        <v>0</v>
      </c>
      <c r="AK9" s="11">
        <f>SUM(AK10:AK13)</f>
        <v>0</v>
      </c>
      <c r="AL9" s="11">
        <f>AK9-AJ9</f>
        <v>0</v>
      </c>
      <c r="AM9" s="11" t="e">
        <f>AL9/AJ9</f>
        <v>#DIV/0!</v>
      </c>
      <c r="AN9" s="11">
        <f>SUM(AN10:AN13)</f>
        <v>0</v>
      </c>
      <c r="AO9" s="11"/>
      <c r="AP9" s="11"/>
      <c r="AQ9" s="11"/>
      <c r="AR9" s="11">
        <f>SUM(AR10:AR13)</f>
        <v>0</v>
      </c>
      <c r="AS9" s="11">
        <f>SUM(AS10:AS13)</f>
        <v>0</v>
      </c>
      <c r="AT9" s="11">
        <f>SUM(AT10:AT13)</f>
        <v>0</v>
      </c>
      <c r="AU9" s="11">
        <f>AT9-AS9</f>
        <v>0</v>
      </c>
      <c r="AV9" s="11" t="e">
        <f>AU9/AS9</f>
        <v>#DIV/0!</v>
      </c>
      <c r="AW9" s="11">
        <f>SUM(AW10:AW13)</f>
        <v>0</v>
      </c>
      <c r="AX9" s="11"/>
      <c r="AY9" s="11"/>
      <c r="AZ9" s="11">
        <f>SUM(AZ10:AZ13)</f>
        <v>0</v>
      </c>
      <c r="BA9" s="11">
        <f>SUM(BA10:BA13)</f>
        <v>0</v>
      </c>
      <c r="BB9" s="11">
        <f>SUM(BB10:BB13)</f>
        <v>0</v>
      </c>
      <c r="BC9" s="11">
        <f>BB9-BA9</f>
        <v>0</v>
      </c>
      <c r="BD9" s="11" t="e">
        <f>BC9/BA9</f>
        <v>#DIV/0!</v>
      </c>
      <c r="BE9" s="11">
        <f>SUM(BE10:BE13)</f>
        <v>0</v>
      </c>
      <c r="BF9" s="11"/>
      <c r="BG9" s="11"/>
      <c r="BH9" s="11">
        <f>SUM(BH10:BH13)</f>
        <v>0</v>
      </c>
      <c r="BI9" s="11">
        <f>SUM(BI10:BI13)</f>
        <v>0</v>
      </c>
      <c r="BJ9" s="11">
        <f>SUM(BJ10:BJ13)</f>
        <v>0</v>
      </c>
      <c r="BK9" s="11">
        <f>BJ9-BI9</f>
        <v>0</v>
      </c>
      <c r="BL9" s="11" t="e">
        <f>BK9/BI9</f>
        <v>#DIV/0!</v>
      </c>
      <c r="BM9" s="11">
        <f>SUM(BM10:BM13)</f>
        <v>0</v>
      </c>
      <c r="BN9" s="11">
        <f>SUM(BN10:BN13)</f>
        <v>0</v>
      </c>
      <c r="BO9" s="11"/>
      <c r="BP9" s="11"/>
      <c r="BQ9" s="11">
        <f>SUM(BQ10:BQ13)</f>
        <v>0</v>
      </c>
      <c r="BR9" s="11">
        <f>SUM(BR10:BR13)</f>
        <v>0</v>
      </c>
      <c r="BS9" s="11">
        <f>BR9-BQ9</f>
        <v>0</v>
      </c>
      <c r="BT9" s="11" t="e">
        <f>BS9/BQ9</f>
        <v>#DIV/0!</v>
      </c>
      <c r="BU9" s="11">
        <f>SUM(BU10:BU13)</f>
        <v>0</v>
      </c>
      <c r="BV9" s="11"/>
      <c r="BW9" s="11"/>
      <c r="BX9" s="11"/>
      <c r="BY9" s="11">
        <f>SUM(BY10:BY13)</f>
        <v>0</v>
      </c>
      <c r="BZ9" s="11">
        <f>SUM(BZ10:BZ13)</f>
        <v>0</v>
      </c>
      <c r="CA9" s="11">
        <f>BZ9-BY9</f>
        <v>0</v>
      </c>
      <c r="CB9" s="11" t="e">
        <f>CA9/BY9</f>
        <v>#DIV/0!</v>
      </c>
      <c r="CC9" s="11"/>
      <c r="CD9" s="11"/>
      <c r="CE9" s="11"/>
      <c r="CF9" s="170">
        <f>SUM(CF10:CF13)</f>
        <v>0</v>
      </c>
      <c r="CG9" s="11">
        <f>SUM(CG10:CG13)</f>
        <v>0</v>
      </c>
      <c r="CH9" s="170">
        <f>SUM(CH10:CH13)</f>
        <v>0</v>
      </c>
      <c r="CI9" s="11">
        <f>CH9-CG9</f>
        <v>0</v>
      </c>
      <c r="CJ9" s="11" t="e">
        <f>CI9/CG9</f>
        <v>#DIV/0!</v>
      </c>
      <c r="CK9" s="11">
        <f>SUM(CK10:CK13)</f>
        <v>0</v>
      </c>
      <c r="CL9" s="11"/>
      <c r="CM9" s="11"/>
      <c r="CN9" s="11">
        <f>SUM(CN10:CN13)</f>
        <v>0</v>
      </c>
      <c r="CO9" s="11">
        <f>SUM(CO10:CO13)</f>
        <v>0</v>
      </c>
      <c r="CP9" s="11">
        <f>SUM(CP10:CP13)</f>
        <v>0</v>
      </c>
      <c r="CQ9" s="11">
        <f>CP9-CO9</f>
        <v>0</v>
      </c>
      <c r="CR9" s="11" t="e">
        <f>CQ9/CO9</f>
        <v>#DIV/0!</v>
      </c>
      <c r="CS9" s="11">
        <f>SUM(CS10:CS13)</f>
        <v>0</v>
      </c>
      <c r="CT9" s="11"/>
      <c r="CU9" s="11"/>
      <c r="CV9" s="11"/>
      <c r="CW9" s="11">
        <f>SUM(CW10:CW13)</f>
        <v>0</v>
      </c>
      <c r="CX9" s="11">
        <f>SUM(CX10:CX13)</f>
        <v>0</v>
      </c>
      <c r="CY9" s="11">
        <f>CX9-CW9</f>
        <v>0</v>
      </c>
      <c r="CZ9" s="64" t="e">
        <f>CY9/CW9</f>
        <v>#DIV/0!</v>
      </c>
      <c r="DA9" s="11">
        <f>SUM(DA10:DA13)</f>
        <v>0</v>
      </c>
      <c r="DB9" s="63">
        <f>SUM(DB10:DB13)</f>
        <v>0</v>
      </c>
      <c r="DC9" s="11">
        <f>SUM(DC10:DC13)</f>
        <v>0</v>
      </c>
      <c r="DD9" s="11">
        <f>DC9-DB9</f>
        <v>0</v>
      </c>
      <c r="DE9" s="64" t="e">
        <f>DD9/DB9</f>
        <v>#DIV/0!</v>
      </c>
    </row>
    <row r="10" spans="1:109" s="8" customFormat="1" ht="18.75" hidden="1">
      <c r="A10" s="98" t="s">
        <v>26</v>
      </c>
      <c r="B10" s="12" t="s">
        <v>27</v>
      </c>
      <c r="C10" s="10" t="s">
        <v>0</v>
      </c>
      <c r="D10" s="13"/>
      <c r="E10" s="13"/>
      <c r="F10" s="13"/>
      <c r="G10" s="13"/>
      <c r="H10" s="13"/>
      <c r="I10" s="13"/>
      <c r="J10" s="13"/>
      <c r="K10" s="13">
        <f aca="true" t="shared" si="0" ref="K10:K78">J10-I10</f>
        <v>0</v>
      </c>
      <c r="L10" s="13" t="e">
        <f aca="true" t="shared" si="1" ref="L10:L36">K10/I10</f>
        <v>#DIV/0!</v>
      </c>
      <c r="M10" s="13"/>
      <c r="N10" s="13"/>
      <c r="O10" s="13"/>
      <c r="P10" s="13"/>
      <c r="Q10" s="13"/>
      <c r="R10" s="13"/>
      <c r="S10" s="13"/>
      <c r="T10" s="13">
        <f aca="true" t="shared" si="2" ref="T10:T36">S10-R10</f>
        <v>0</v>
      </c>
      <c r="U10" s="13" t="e">
        <f aca="true" t="shared" si="3" ref="U10:U36">T10/R10</f>
        <v>#DIV/0!</v>
      </c>
      <c r="V10" s="13"/>
      <c r="W10" s="13"/>
      <c r="X10" s="13"/>
      <c r="Y10" s="13"/>
      <c r="Z10" s="13"/>
      <c r="AA10" s="13"/>
      <c r="AB10" s="13"/>
      <c r="AC10" s="13">
        <f aca="true" t="shared" si="4" ref="AC10:AC36">AB10-AA10</f>
        <v>0</v>
      </c>
      <c r="AD10" s="13" t="e">
        <f aca="true" t="shared" si="5" ref="AD10:AD36">AC10/AA10</f>
        <v>#DIV/0!</v>
      </c>
      <c r="AE10" s="13"/>
      <c r="AF10" s="13"/>
      <c r="AG10" s="13"/>
      <c r="AH10" s="13"/>
      <c r="AI10" s="13"/>
      <c r="AJ10" s="13"/>
      <c r="AK10" s="13"/>
      <c r="AL10" s="13">
        <f aca="true" t="shared" si="6" ref="AL10:AL36">AK10-AJ10</f>
        <v>0</v>
      </c>
      <c r="AM10" s="13" t="e">
        <f aca="true" t="shared" si="7" ref="AM10:AM36">AL10/AJ10</f>
        <v>#DIV/0!</v>
      </c>
      <c r="AN10" s="13"/>
      <c r="AO10" s="13"/>
      <c r="AP10" s="13"/>
      <c r="AQ10" s="13"/>
      <c r="AR10" s="13"/>
      <c r="AS10" s="13"/>
      <c r="AT10" s="13"/>
      <c r="AU10" s="13">
        <f aca="true" t="shared" si="8" ref="AU10:AU36">AT10-AS10</f>
        <v>0</v>
      </c>
      <c r="AV10" s="13" t="e">
        <f aca="true" t="shared" si="9" ref="AV10:AV36">AU10/AS10</f>
        <v>#DIV/0!</v>
      </c>
      <c r="AW10" s="13"/>
      <c r="AX10" s="13"/>
      <c r="AY10" s="13"/>
      <c r="AZ10" s="13"/>
      <c r="BA10" s="13"/>
      <c r="BB10" s="13"/>
      <c r="BC10" s="13">
        <f aca="true" t="shared" si="10" ref="BC10:BC36">BB10-BA10</f>
        <v>0</v>
      </c>
      <c r="BD10" s="13" t="e">
        <f aca="true" t="shared" si="11" ref="BD10:BD36">BC10/BA10</f>
        <v>#DIV/0!</v>
      </c>
      <c r="BE10" s="13"/>
      <c r="BF10" s="13"/>
      <c r="BG10" s="13"/>
      <c r="BH10" s="13"/>
      <c r="BI10" s="13"/>
      <c r="BJ10" s="13"/>
      <c r="BK10" s="13">
        <f aca="true" t="shared" si="12" ref="BK10:BK36">BJ10-BI10</f>
        <v>0</v>
      </c>
      <c r="BL10" s="13" t="e">
        <f aca="true" t="shared" si="13" ref="BL10:BL36">BK10/BI10</f>
        <v>#DIV/0!</v>
      </c>
      <c r="BM10" s="13"/>
      <c r="BN10" s="13"/>
      <c r="BO10" s="13"/>
      <c r="BP10" s="13"/>
      <c r="BQ10" s="13"/>
      <c r="BR10" s="13"/>
      <c r="BS10" s="13">
        <f aca="true" t="shared" si="14" ref="BS10:BS36">BR10-BQ10</f>
        <v>0</v>
      </c>
      <c r="BT10" s="13" t="e">
        <f aca="true" t="shared" si="15" ref="BT10:BT36">BS10/BQ10</f>
        <v>#DIV/0!</v>
      </c>
      <c r="BU10" s="13"/>
      <c r="BV10" s="13"/>
      <c r="BW10" s="13"/>
      <c r="BX10" s="13"/>
      <c r="BY10" s="13"/>
      <c r="BZ10" s="13"/>
      <c r="CA10" s="13">
        <f aca="true" t="shared" si="16" ref="CA10:CA36">BZ10-BY10</f>
        <v>0</v>
      </c>
      <c r="CB10" s="13" t="e">
        <f aca="true" t="shared" si="17" ref="CB10:CB36">CA10/BY10</f>
        <v>#DIV/0!</v>
      </c>
      <c r="CC10" s="13"/>
      <c r="CD10" s="13"/>
      <c r="CE10" s="13"/>
      <c r="CF10" s="171"/>
      <c r="CG10" s="13"/>
      <c r="CH10" s="171"/>
      <c r="CI10" s="13">
        <f aca="true" t="shared" si="18" ref="CI10:CI36">CH10-CG10</f>
        <v>0</v>
      </c>
      <c r="CJ10" s="13" t="e">
        <f aca="true" t="shared" si="19" ref="CJ10:CJ36">CI10/CG10</f>
        <v>#DIV/0!</v>
      </c>
      <c r="CK10" s="13"/>
      <c r="CL10" s="13"/>
      <c r="CM10" s="13"/>
      <c r="CN10" s="13"/>
      <c r="CO10" s="13"/>
      <c r="CP10" s="13"/>
      <c r="CQ10" s="13">
        <f aca="true" t="shared" si="20" ref="CQ10:CQ36">CP10-CO10</f>
        <v>0</v>
      </c>
      <c r="CR10" s="13" t="e">
        <f aca="true" t="shared" si="21" ref="CR10:CR36">CQ10/CO10</f>
        <v>#DIV/0!</v>
      </c>
      <c r="CS10" s="13"/>
      <c r="CT10" s="13"/>
      <c r="CU10" s="13"/>
      <c r="CV10" s="13"/>
      <c r="CW10" s="13"/>
      <c r="CX10" s="13"/>
      <c r="CY10" s="13">
        <f aca="true" t="shared" si="22" ref="CY10:CY36">CX10-CW10</f>
        <v>0</v>
      </c>
      <c r="CZ10" s="66" t="e">
        <f aca="true" t="shared" si="23" ref="CZ10:CZ36">CY10/CW10</f>
        <v>#DIV/0!</v>
      </c>
      <c r="DA10" s="13"/>
      <c r="DB10" s="65"/>
      <c r="DC10" s="13"/>
      <c r="DD10" s="13">
        <f aca="true" t="shared" si="24" ref="DD10:DD36">DC10-DB10</f>
        <v>0</v>
      </c>
      <c r="DE10" s="66" t="e">
        <f aca="true" t="shared" si="25" ref="DE10:DE36">DD10/DB10</f>
        <v>#DIV/0!</v>
      </c>
    </row>
    <row r="11" spans="1:109" s="8" customFormat="1" ht="18.75" hidden="1">
      <c r="A11" s="98" t="s">
        <v>28</v>
      </c>
      <c r="B11" s="12" t="s">
        <v>29</v>
      </c>
      <c r="C11" s="10" t="s">
        <v>0</v>
      </c>
      <c r="D11" s="13"/>
      <c r="E11" s="13"/>
      <c r="F11" s="13"/>
      <c r="G11" s="13"/>
      <c r="H11" s="13"/>
      <c r="I11" s="13"/>
      <c r="J11" s="13"/>
      <c r="K11" s="13">
        <f t="shared" si="0"/>
        <v>0</v>
      </c>
      <c r="L11" s="13" t="e">
        <f t="shared" si="1"/>
        <v>#DIV/0!</v>
      </c>
      <c r="M11" s="13"/>
      <c r="N11" s="13"/>
      <c r="O11" s="13"/>
      <c r="P11" s="13"/>
      <c r="Q11" s="13"/>
      <c r="R11" s="13"/>
      <c r="S11" s="13"/>
      <c r="T11" s="13">
        <f t="shared" si="2"/>
        <v>0</v>
      </c>
      <c r="U11" s="13" t="e">
        <f t="shared" si="3"/>
        <v>#DIV/0!</v>
      </c>
      <c r="V11" s="13"/>
      <c r="W11" s="13"/>
      <c r="X11" s="13"/>
      <c r="Y11" s="13"/>
      <c r="Z11" s="13"/>
      <c r="AA11" s="13"/>
      <c r="AB11" s="13"/>
      <c r="AC11" s="13">
        <f t="shared" si="4"/>
        <v>0</v>
      </c>
      <c r="AD11" s="13" t="e">
        <f t="shared" si="5"/>
        <v>#DIV/0!</v>
      </c>
      <c r="AE11" s="13"/>
      <c r="AF11" s="13"/>
      <c r="AG11" s="13"/>
      <c r="AH11" s="13"/>
      <c r="AI11" s="13"/>
      <c r="AJ11" s="13"/>
      <c r="AK11" s="13"/>
      <c r="AL11" s="13">
        <f t="shared" si="6"/>
        <v>0</v>
      </c>
      <c r="AM11" s="13" t="e">
        <f t="shared" si="7"/>
        <v>#DIV/0!</v>
      </c>
      <c r="AN11" s="13"/>
      <c r="AO11" s="13"/>
      <c r="AP11" s="13"/>
      <c r="AQ11" s="13"/>
      <c r="AR11" s="13"/>
      <c r="AS11" s="13"/>
      <c r="AT11" s="13"/>
      <c r="AU11" s="13">
        <f t="shared" si="8"/>
        <v>0</v>
      </c>
      <c r="AV11" s="13" t="e">
        <f t="shared" si="9"/>
        <v>#DIV/0!</v>
      </c>
      <c r="AW11" s="13"/>
      <c r="AX11" s="13"/>
      <c r="AY11" s="13"/>
      <c r="AZ11" s="13"/>
      <c r="BA11" s="13"/>
      <c r="BB11" s="13"/>
      <c r="BC11" s="13">
        <f t="shared" si="10"/>
        <v>0</v>
      </c>
      <c r="BD11" s="13" t="e">
        <f t="shared" si="11"/>
        <v>#DIV/0!</v>
      </c>
      <c r="BE11" s="13"/>
      <c r="BF11" s="13"/>
      <c r="BG11" s="13"/>
      <c r="BH11" s="13"/>
      <c r="BI11" s="13"/>
      <c r="BJ11" s="13"/>
      <c r="BK11" s="13">
        <f t="shared" si="12"/>
        <v>0</v>
      </c>
      <c r="BL11" s="13" t="e">
        <f t="shared" si="13"/>
        <v>#DIV/0!</v>
      </c>
      <c r="BM11" s="13"/>
      <c r="BN11" s="13"/>
      <c r="BO11" s="13"/>
      <c r="BP11" s="13"/>
      <c r="BQ11" s="13"/>
      <c r="BR11" s="13"/>
      <c r="BS11" s="13">
        <f t="shared" si="14"/>
        <v>0</v>
      </c>
      <c r="BT11" s="13" t="e">
        <f t="shared" si="15"/>
        <v>#DIV/0!</v>
      </c>
      <c r="BU11" s="13"/>
      <c r="BV11" s="13"/>
      <c r="BW11" s="13"/>
      <c r="BX11" s="13"/>
      <c r="BY11" s="13"/>
      <c r="BZ11" s="13"/>
      <c r="CA11" s="13">
        <f t="shared" si="16"/>
        <v>0</v>
      </c>
      <c r="CB11" s="13" t="e">
        <f t="shared" si="17"/>
        <v>#DIV/0!</v>
      </c>
      <c r="CC11" s="13"/>
      <c r="CD11" s="13"/>
      <c r="CE11" s="13"/>
      <c r="CF11" s="171"/>
      <c r="CG11" s="13"/>
      <c r="CH11" s="171"/>
      <c r="CI11" s="13">
        <f t="shared" si="18"/>
        <v>0</v>
      </c>
      <c r="CJ11" s="13" t="e">
        <f t="shared" si="19"/>
        <v>#DIV/0!</v>
      </c>
      <c r="CK11" s="13"/>
      <c r="CL11" s="13"/>
      <c r="CM11" s="13"/>
      <c r="CN11" s="13"/>
      <c r="CO11" s="13"/>
      <c r="CP11" s="13"/>
      <c r="CQ11" s="13">
        <f t="shared" si="20"/>
        <v>0</v>
      </c>
      <c r="CR11" s="13" t="e">
        <f t="shared" si="21"/>
        <v>#DIV/0!</v>
      </c>
      <c r="CS11" s="13"/>
      <c r="CT11" s="13"/>
      <c r="CU11" s="13"/>
      <c r="CV11" s="13"/>
      <c r="CW11" s="13"/>
      <c r="CX11" s="13"/>
      <c r="CY11" s="13">
        <f t="shared" si="22"/>
        <v>0</v>
      </c>
      <c r="CZ11" s="66" t="e">
        <f t="shared" si="23"/>
        <v>#DIV/0!</v>
      </c>
      <c r="DA11" s="13"/>
      <c r="DB11" s="65"/>
      <c r="DC11" s="13"/>
      <c r="DD11" s="13">
        <f t="shared" si="24"/>
        <v>0</v>
      </c>
      <c r="DE11" s="66" t="e">
        <f t="shared" si="25"/>
        <v>#DIV/0!</v>
      </c>
    </row>
    <row r="12" spans="1:109" s="8" customFormat="1" ht="18.75" hidden="1">
      <c r="A12" s="98" t="s">
        <v>30</v>
      </c>
      <c r="B12" s="12" t="s">
        <v>31</v>
      </c>
      <c r="C12" s="10" t="s">
        <v>0</v>
      </c>
      <c r="D12" s="13"/>
      <c r="E12" s="13"/>
      <c r="F12" s="13"/>
      <c r="G12" s="13"/>
      <c r="H12" s="13"/>
      <c r="I12" s="13"/>
      <c r="J12" s="13"/>
      <c r="K12" s="13">
        <f t="shared" si="0"/>
        <v>0</v>
      </c>
      <c r="L12" s="13" t="e">
        <f t="shared" si="1"/>
        <v>#DIV/0!</v>
      </c>
      <c r="M12" s="13"/>
      <c r="N12" s="13"/>
      <c r="O12" s="13"/>
      <c r="P12" s="13"/>
      <c r="Q12" s="13"/>
      <c r="R12" s="13"/>
      <c r="S12" s="13"/>
      <c r="T12" s="13">
        <f t="shared" si="2"/>
        <v>0</v>
      </c>
      <c r="U12" s="13" t="e">
        <f t="shared" si="3"/>
        <v>#DIV/0!</v>
      </c>
      <c r="V12" s="13"/>
      <c r="W12" s="13"/>
      <c r="X12" s="13"/>
      <c r="Y12" s="13"/>
      <c r="Z12" s="13"/>
      <c r="AA12" s="13"/>
      <c r="AB12" s="13"/>
      <c r="AC12" s="13">
        <f t="shared" si="4"/>
        <v>0</v>
      </c>
      <c r="AD12" s="13" t="e">
        <f t="shared" si="5"/>
        <v>#DIV/0!</v>
      </c>
      <c r="AE12" s="13"/>
      <c r="AF12" s="13"/>
      <c r="AG12" s="13"/>
      <c r="AH12" s="13"/>
      <c r="AI12" s="13"/>
      <c r="AJ12" s="13"/>
      <c r="AK12" s="13"/>
      <c r="AL12" s="13">
        <f t="shared" si="6"/>
        <v>0</v>
      </c>
      <c r="AM12" s="13" t="e">
        <f t="shared" si="7"/>
        <v>#DIV/0!</v>
      </c>
      <c r="AN12" s="13"/>
      <c r="AO12" s="13"/>
      <c r="AP12" s="13"/>
      <c r="AQ12" s="13"/>
      <c r="AR12" s="13"/>
      <c r="AS12" s="13"/>
      <c r="AT12" s="13"/>
      <c r="AU12" s="13">
        <f t="shared" si="8"/>
        <v>0</v>
      </c>
      <c r="AV12" s="13" t="e">
        <f t="shared" si="9"/>
        <v>#DIV/0!</v>
      </c>
      <c r="AW12" s="13"/>
      <c r="AX12" s="13"/>
      <c r="AY12" s="13"/>
      <c r="AZ12" s="13"/>
      <c r="BA12" s="13"/>
      <c r="BB12" s="13"/>
      <c r="BC12" s="13">
        <f t="shared" si="10"/>
        <v>0</v>
      </c>
      <c r="BD12" s="13" t="e">
        <f t="shared" si="11"/>
        <v>#DIV/0!</v>
      </c>
      <c r="BE12" s="13"/>
      <c r="BF12" s="13"/>
      <c r="BG12" s="13"/>
      <c r="BH12" s="13"/>
      <c r="BI12" s="13"/>
      <c r="BJ12" s="13"/>
      <c r="BK12" s="13">
        <f t="shared" si="12"/>
        <v>0</v>
      </c>
      <c r="BL12" s="13" t="e">
        <f t="shared" si="13"/>
        <v>#DIV/0!</v>
      </c>
      <c r="BM12" s="13"/>
      <c r="BN12" s="13"/>
      <c r="BO12" s="13"/>
      <c r="BP12" s="13"/>
      <c r="BQ12" s="13"/>
      <c r="BR12" s="13"/>
      <c r="BS12" s="13">
        <f t="shared" si="14"/>
        <v>0</v>
      </c>
      <c r="BT12" s="13" t="e">
        <f t="shared" si="15"/>
        <v>#DIV/0!</v>
      </c>
      <c r="BU12" s="13"/>
      <c r="BV12" s="13"/>
      <c r="BW12" s="13"/>
      <c r="BX12" s="13"/>
      <c r="BY12" s="13"/>
      <c r="BZ12" s="13"/>
      <c r="CA12" s="13">
        <f t="shared" si="16"/>
        <v>0</v>
      </c>
      <c r="CB12" s="13" t="e">
        <f t="shared" si="17"/>
        <v>#DIV/0!</v>
      </c>
      <c r="CC12" s="13"/>
      <c r="CD12" s="13"/>
      <c r="CE12" s="13"/>
      <c r="CF12" s="171"/>
      <c r="CG12" s="13"/>
      <c r="CH12" s="171"/>
      <c r="CI12" s="13">
        <f t="shared" si="18"/>
        <v>0</v>
      </c>
      <c r="CJ12" s="13" t="e">
        <f t="shared" si="19"/>
        <v>#DIV/0!</v>
      </c>
      <c r="CK12" s="13"/>
      <c r="CL12" s="13"/>
      <c r="CM12" s="13"/>
      <c r="CN12" s="13"/>
      <c r="CO12" s="13"/>
      <c r="CP12" s="13"/>
      <c r="CQ12" s="13">
        <f t="shared" si="20"/>
        <v>0</v>
      </c>
      <c r="CR12" s="13" t="e">
        <f t="shared" si="21"/>
        <v>#DIV/0!</v>
      </c>
      <c r="CS12" s="13"/>
      <c r="CT12" s="13"/>
      <c r="CU12" s="13"/>
      <c r="CV12" s="13"/>
      <c r="CW12" s="13"/>
      <c r="CX12" s="13"/>
      <c r="CY12" s="13">
        <f t="shared" si="22"/>
        <v>0</v>
      </c>
      <c r="CZ12" s="66" t="e">
        <f t="shared" si="23"/>
        <v>#DIV/0!</v>
      </c>
      <c r="DA12" s="13"/>
      <c r="DB12" s="65"/>
      <c r="DC12" s="13"/>
      <c r="DD12" s="13">
        <f t="shared" si="24"/>
        <v>0</v>
      </c>
      <c r="DE12" s="66" t="e">
        <f t="shared" si="25"/>
        <v>#DIV/0!</v>
      </c>
    </row>
    <row r="13" spans="1:109" s="8" customFormat="1" ht="18.75" hidden="1">
      <c r="A13" s="98" t="s">
        <v>32</v>
      </c>
      <c r="B13" s="12" t="s">
        <v>33</v>
      </c>
      <c r="C13" s="10" t="s">
        <v>0</v>
      </c>
      <c r="D13" s="13"/>
      <c r="E13" s="13"/>
      <c r="F13" s="13"/>
      <c r="G13" s="13"/>
      <c r="H13" s="13"/>
      <c r="I13" s="13"/>
      <c r="J13" s="13"/>
      <c r="K13" s="13">
        <f t="shared" si="0"/>
        <v>0</v>
      </c>
      <c r="L13" s="13" t="e">
        <f t="shared" si="1"/>
        <v>#DIV/0!</v>
      </c>
      <c r="M13" s="13"/>
      <c r="N13" s="13"/>
      <c r="O13" s="13"/>
      <c r="P13" s="13"/>
      <c r="Q13" s="13"/>
      <c r="R13" s="13"/>
      <c r="S13" s="13"/>
      <c r="T13" s="13">
        <f t="shared" si="2"/>
        <v>0</v>
      </c>
      <c r="U13" s="13" t="e">
        <f t="shared" si="3"/>
        <v>#DIV/0!</v>
      </c>
      <c r="V13" s="13"/>
      <c r="W13" s="13"/>
      <c r="X13" s="13"/>
      <c r="Y13" s="13"/>
      <c r="Z13" s="13"/>
      <c r="AA13" s="13"/>
      <c r="AB13" s="13"/>
      <c r="AC13" s="13">
        <f t="shared" si="4"/>
        <v>0</v>
      </c>
      <c r="AD13" s="13" t="e">
        <f t="shared" si="5"/>
        <v>#DIV/0!</v>
      </c>
      <c r="AE13" s="13"/>
      <c r="AF13" s="13"/>
      <c r="AG13" s="13"/>
      <c r="AH13" s="13"/>
      <c r="AI13" s="13"/>
      <c r="AJ13" s="13"/>
      <c r="AK13" s="13"/>
      <c r="AL13" s="13">
        <f t="shared" si="6"/>
        <v>0</v>
      </c>
      <c r="AM13" s="13" t="e">
        <f t="shared" si="7"/>
        <v>#DIV/0!</v>
      </c>
      <c r="AN13" s="13"/>
      <c r="AO13" s="13"/>
      <c r="AP13" s="13"/>
      <c r="AQ13" s="13"/>
      <c r="AR13" s="13"/>
      <c r="AS13" s="13"/>
      <c r="AT13" s="13"/>
      <c r="AU13" s="13">
        <f t="shared" si="8"/>
        <v>0</v>
      </c>
      <c r="AV13" s="13" t="e">
        <f t="shared" si="9"/>
        <v>#DIV/0!</v>
      </c>
      <c r="AW13" s="13"/>
      <c r="AX13" s="13"/>
      <c r="AY13" s="13"/>
      <c r="AZ13" s="13"/>
      <c r="BA13" s="13"/>
      <c r="BB13" s="13"/>
      <c r="BC13" s="13">
        <f t="shared" si="10"/>
        <v>0</v>
      </c>
      <c r="BD13" s="13" t="e">
        <f t="shared" si="11"/>
        <v>#DIV/0!</v>
      </c>
      <c r="BE13" s="13"/>
      <c r="BF13" s="13"/>
      <c r="BG13" s="13"/>
      <c r="BH13" s="13"/>
      <c r="BI13" s="13"/>
      <c r="BJ13" s="13"/>
      <c r="BK13" s="13">
        <f t="shared" si="12"/>
        <v>0</v>
      </c>
      <c r="BL13" s="13" t="e">
        <f t="shared" si="13"/>
        <v>#DIV/0!</v>
      </c>
      <c r="BM13" s="13"/>
      <c r="BN13" s="13"/>
      <c r="BO13" s="13"/>
      <c r="BP13" s="13"/>
      <c r="BQ13" s="13"/>
      <c r="BR13" s="13"/>
      <c r="BS13" s="13">
        <f t="shared" si="14"/>
        <v>0</v>
      </c>
      <c r="BT13" s="13" t="e">
        <f t="shared" si="15"/>
        <v>#DIV/0!</v>
      </c>
      <c r="BU13" s="13"/>
      <c r="BV13" s="13"/>
      <c r="BW13" s="13"/>
      <c r="BX13" s="13"/>
      <c r="BY13" s="13"/>
      <c r="BZ13" s="13"/>
      <c r="CA13" s="13">
        <f t="shared" si="16"/>
        <v>0</v>
      </c>
      <c r="CB13" s="13" t="e">
        <f t="shared" si="17"/>
        <v>#DIV/0!</v>
      </c>
      <c r="CC13" s="13"/>
      <c r="CD13" s="13"/>
      <c r="CE13" s="13"/>
      <c r="CF13" s="171"/>
      <c r="CG13" s="13"/>
      <c r="CH13" s="171"/>
      <c r="CI13" s="13">
        <f t="shared" si="18"/>
        <v>0</v>
      </c>
      <c r="CJ13" s="13" t="e">
        <f t="shared" si="19"/>
        <v>#DIV/0!</v>
      </c>
      <c r="CK13" s="13"/>
      <c r="CL13" s="13"/>
      <c r="CM13" s="13"/>
      <c r="CN13" s="13"/>
      <c r="CO13" s="13"/>
      <c r="CP13" s="13"/>
      <c r="CQ13" s="13">
        <f t="shared" si="20"/>
        <v>0</v>
      </c>
      <c r="CR13" s="13" t="e">
        <f t="shared" si="21"/>
        <v>#DIV/0!</v>
      </c>
      <c r="CS13" s="13"/>
      <c r="CT13" s="13"/>
      <c r="CU13" s="13"/>
      <c r="CV13" s="13"/>
      <c r="CW13" s="13"/>
      <c r="CX13" s="13"/>
      <c r="CY13" s="13">
        <f t="shared" si="22"/>
        <v>0</v>
      </c>
      <c r="CZ13" s="66" t="e">
        <f t="shared" si="23"/>
        <v>#DIV/0!</v>
      </c>
      <c r="DA13" s="13"/>
      <c r="DB13" s="65"/>
      <c r="DC13" s="13"/>
      <c r="DD13" s="13">
        <f t="shared" si="24"/>
        <v>0</v>
      </c>
      <c r="DE13" s="66" t="e">
        <f t="shared" si="25"/>
        <v>#DIV/0!</v>
      </c>
    </row>
    <row r="14" spans="1:109" ht="15" customHeight="1" hidden="1">
      <c r="A14" s="97">
        <v>3</v>
      </c>
      <c r="B14" s="48" t="s">
        <v>34</v>
      </c>
      <c r="C14" s="10" t="s">
        <v>0</v>
      </c>
      <c r="D14" s="14"/>
      <c r="E14" s="14"/>
      <c r="F14" s="14"/>
      <c r="G14" s="14"/>
      <c r="H14" s="14"/>
      <c r="I14" s="14"/>
      <c r="J14" s="14"/>
      <c r="K14" s="14">
        <f t="shared" si="0"/>
        <v>0</v>
      </c>
      <c r="L14" s="14" t="e">
        <f t="shared" si="1"/>
        <v>#DIV/0!</v>
      </c>
      <c r="M14" s="14"/>
      <c r="N14" s="14"/>
      <c r="O14" s="14"/>
      <c r="P14" s="14"/>
      <c r="Q14" s="14"/>
      <c r="R14" s="14"/>
      <c r="S14" s="14"/>
      <c r="T14" s="14">
        <f t="shared" si="2"/>
        <v>0</v>
      </c>
      <c r="U14" s="14" t="e">
        <f t="shared" si="3"/>
        <v>#DIV/0!</v>
      </c>
      <c r="V14" s="14"/>
      <c r="W14" s="14"/>
      <c r="X14" s="14"/>
      <c r="Y14" s="14"/>
      <c r="Z14" s="14"/>
      <c r="AA14" s="14"/>
      <c r="AB14" s="14"/>
      <c r="AC14" s="14">
        <f t="shared" si="4"/>
        <v>0</v>
      </c>
      <c r="AD14" s="14" t="e">
        <f t="shared" si="5"/>
        <v>#DIV/0!</v>
      </c>
      <c r="AE14" s="14"/>
      <c r="AF14" s="14"/>
      <c r="AG14" s="14"/>
      <c r="AH14" s="14"/>
      <c r="AI14" s="14"/>
      <c r="AJ14" s="14"/>
      <c r="AK14" s="14"/>
      <c r="AL14" s="14">
        <f t="shared" si="6"/>
        <v>0</v>
      </c>
      <c r="AM14" s="14" t="e">
        <f t="shared" si="7"/>
        <v>#DIV/0!</v>
      </c>
      <c r="AN14" s="14"/>
      <c r="AO14" s="14"/>
      <c r="AP14" s="14"/>
      <c r="AQ14" s="14"/>
      <c r="AR14" s="14"/>
      <c r="AS14" s="14"/>
      <c r="AT14" s="14"/>
      <c r="AU14" s="14">
        <f t="shared" si="8"/>
        <v>0</v>
      </c>
      <c r="AV14" s="14" t="e">
        <f t="shared" si="9"/>
        <v>#DIV/0!</v>
      </c>
      <c r="AW14" s="14"/>
      <c r="AX14" s="14"/>
      <c r="AY14" s="14"/>
      <c r="AZ14" s="14"/>
      <c r="BA14" s="14"/>
      <c r="BB14" s="14"/>
      <c r="BC14" s="14">
        <f t="shared" si="10"/>
        <v>0</v>
      </c>
      <c r="BD14" s="14" t="e">
        <f t="shared" si="11"/>
        <v>#DIV/0!</v>
      </c>
      <c r="BE14" s="14"/>
      <c r="BF14" s="14"/>
      <c r="BG14" s="14"/>
      <c r="BH14" s="14"/>
      <c r="BI14" s="14"/>
      <c r="BJ14" s="14"/>
      <c r="BK14" s="14">
        <f t="shared" si="12"/>
        <v>0</v>
      </c>
      <c r="BL14" s="14" t="e">
        <f t="shared" si="13"/>
        <v>#DIV/0!</v>
      </c>
      <c r="BM14" s="14"/>
      <c r="BN14" s="14"/>
      <c r="BO14" s="14"/>
      <c r="BP14" s="14"/>
      <c r="BQ14" s="14"/>
      <c r="BR14" s="14"/>
      <c r="BS14" s="14">
        <f t="shared" si="14"/>
        <v>0</v>
      </c>
      <c r="BT14" s="14" t="e">
        <f t="shared" si="15"/>
        <v>#DIV/0!</v>
      </c>
      <c r="BU14" s="14"/>
      <c r="BV14" s="14"/>
      <c r="BW14" s="14"/>
      <c r="BX14" s="14"/>
      <c r="BY14" s="14"/>
      <c r="BZ14" s="14"/>
      <c r="CA14" s="14">
        <f t="shared" si="16"/>
        <v>0</v>
      </c>
      <c r="CB14" s="14" t="e">
        <f t="shared" si="17"/>
        <v>#DIV/0!</v>
      </c>
      <c r="CC14" s="14"/>
      <c r="CD14" s="14"/>
      <c r="CE14" s="14"/>
      <c r="CF14" s="172"/>
      <c r="CG14" s="14"/>
      <c r="CH14" s="172"/>
      <c r="CI14" s="14">
        <f t="shared" si="18"/>
        <v>0</v>
      </c>
      <c r="CJ14" s="14" t="e">
        <f t="shared" si="19"/>
        <v>#DIV/0!</v>
      </c>
      <c r="CK14" s="14"/>
      <c r="CL14" s="14"/>
      <c r="CM14" s="14"/>
      <c r="CN14" s="14"/>
      <c r="CO14" s="14"/>
      <c r="CP14" s="14"/>
      <c r="CQ14" s="14">
        <f t="shared" si="20"/>
        <v>0</v>
      </c>
      <c r="CR14" s="14" t="e">
        <f t="shared" si="21"/>
        <v>#DIV/0!</v>
      </c>
      <c r="CS14" s="14"/>
      <c r="CT14" s="14"/>
      <c r="CU14" s="14"/>
      <c r="CV14" s="14"/>
      <c r="CW14" s="14"/>
      <c r="CX14" s="14"/>
      <c r="CY14" s="14">
        <f t="shared" si="22"/>
        <v>0</v>
      </c>
      <c r="CZ14" s="68" t="e">
        <f t="shared" si="23"/>
        <v>#DIV/0!</v>
      </c>
      <c r="DA14" s="14"/>
      <c r="DB14" s="67"/>
      <c r="DC14" s="14"/>
      <c r="DD14" s="14">
        <f t="shared" si="24"/>
        <v>0</v>
      </c>
      <c r="DE14" s="68" t="e">
        <f t="shared" si="25"/>
        <v>#DIV/0!</v>
      </c>
    </row>
    <row r="15" spans="1:109" ht="15" customHeight="1" hidden="1">
      <c r="A15" s="97">
        <v>4</v>
      </c>
      <c r="B15" s="220" t="s">
        <v>35</v>
      </c>
      <c r="C15" s="10" t="s">
        <v>36</v>
      </c>
      <c r="D15" s="11">
        <f>D16*D9</f>
        <v>0</v>
      </c>
      <c r="E15" s="11">
        <f>E16*E9</f>
        <v>0</v>
      </c>
      <c r="F15" s="11"/>
      <c r="G15" s="11"/>
      <c r="H15" s="11"/>
      <c r="I15" s="11">
        <f>I16*I9</f>
        <v>0</v>
      </c>
      <c r="J15" s="11">
        <f>J16*J9</f>
        <v>0</v>
      </c>
      <c r="K15" s="11">
        <f t="shared" si="0"/>
        <v>0</v>
      </c>
      <c r="L15" s="11" t="e">
        <f t="shared" si="1"/>
        <v>#DIV/0!</v>
      </c>
      <c r="M15" s="11">
        <f>M16*M9</f>
        <v>0</v>
      </c>
      <c r="N15" s="11">
        <f>N16*N9</f>
        <v>0</v>
      </c>
      <c r="O15" s="11"/>
      <c r="P15" s="11"/>
      <c r="Q15" s="11"/>
      <c r="R15" s="11">
        <f>R16*R9</f>
        <v>0</v>
      </c>
      <c r="S15" s="11">
        <f>S16*S9</f>
        <v>0</v>
      </c>
      <c r="T15" s="11">
        <f t="shared" si="2"/>
        <v>0</v>
      </c>
      <c r="U15" s="11" t="e">
        <f t="shared" si="3"/>
        <v>#DIV/0!</v>
      </c>
      <c r="V15" s="11">
        <f>V16*V9</f>
        <v>0</v>
      </c>
      <c r="W15" s="11">
        <f>W16*W9</f>
        <v>0</v>
      </c>
      <c r="X15" s="11"/>
      <c r="Y15" s="11"/>
      <c r="Z15" s="11"/>
      <c r="AA15" s="11">
        <f>AA16*AA9</f>
        <v>0</v>
      </c>
      <c r="AB15" s="11">
        <f>AB16*AB9</f>
        <v>0</v>
      </c>
      <c r="AC15" s="11">
        <f t="shared" si="4"/>
        <v>0</v>
      </c>
      <c r="AD15" s="11" t="e">
        <f t="shared" si="5"/>
        <v>#DIV/0!</v>
      </c>
      <c r="AE15" s="11">
        <f>AE16*AE9</f>
        <v>0</v>
      </c>
      <c r="AF15" s="11">
        <f>AF16*AF9</f>
        <v>0</v>
      </c>
      <c r="AG15" s="11"/>
      <c r="AH15" s="11"/>
      <c r="AI15" s="11"/>
      <c r="AJ15" s="11">
        <f>AJ16*AJ9</f>
        <v>0</v>
      </c>
      <c r="AK15" s="11">
        <f>AK16*AK9</f>
        <v>0</v>
      </c>
      <c r="AL15" s="11">
        <f t="shared" si="6"/>
        <v>0</v>
      </c>
      <c r="AM15" s="11" t="e">
        <f t="shared" si="7"/>
        <v>#DIV/0!</v>
      </c>
      <c r="AN15" s="11">
        <f>AN16*AN9</f>
        <v>0</v>
      </c>
      <c r="AO15" s="11"/>
      <c r="AP15" s="11"/>
      <c r="AQ15" s="11"/>
      <c r="AR15" s="11">
        <f>AR16*AR9</f>
        <v>0</v>
      </c>
      <c r="AS15" s="11">
        <f>AS16*AS9</f>
        <v>0</v>
      </c>
      <c r="AT15" s="11">
        <f>AT16*AT9</f>
        <v>0</v>
      </c>
      <c r="AU15" s="11">
        <f t="shared" si="8"/>
        <v>0</v>
      </c>
      <c r="AV15" s="11" t="e">
        <f t="shared" si="9"/>
        <v>#DIV/0!</v>
      </c>
      <c r="AW15" s="11">
        <f>AW16*AW9</f>
        <v>0</v>
      </c>
      <c r="AX15" s="11"/>
      <c r="AY15" s="11"/>
      <c r="AZ15" s="11">
        <f>AZ16*AZ9</f>
        <v>0</v>
      </c>
      <c r="BA15" s="11">
        <f>BA16*BA9</f>
        <v>0</v>
      </c>
      <c r="BB15" s="11">
        <f>BB16*BB9</f>
        <v>0</v>
      </c>
      <c r="BC15" s="11">
        <f t="shared" si="10"/>
        <v>0</v>
      </c>
      <c r="BD15" s="11" t="e">
        <f t="shared" si="11"/>
        <v>#DIV/0!</v>
      </c>
      <c r="BE15" s="11">
        <f>BE16*BE9</f>
        <v>0</v>
      </c>
      <c r="BF15" s="11"/>
      <c r="BG15" s="11"/>
      <c r="BH15" s="11">
        <f>BH16*BH9</f>
        <v>0</v>
      </c>
      <c r="BI15" s="11">
        <f>BI16*BI9</f>
        <v>0</v>
      </c>
      <c r="BJ15" s="11">
        <f>BJ16*BJ9</f>
        <v>0</v>
      </c>
      <c r="BK15" s="11">
        <f t="shared" si="12"/>
        <v>0</v>
      </c>
      <c r="BL15" s="11" t="e">
        <f t="shared" si="13"/>
        <v>#DIV/0!</v>
      </c>
      <c r="BM15" s="11">
        <f>BM16*BM9</f>
        <v>0</v>
      </c>
      <c r="BN15" s="11">
        <f>BN16*BN9</f>
        <v>0</v>
      </c>
      <c r="BO15" s="11"/>
      <c r="BP15" s="11"/>
      <c r="BQ15" s="11">
        <f>BQ16*BQ9</f>
        <v>0</v>
      </c>
      <c r="BR15" s="11">
        <f>BR16*BR9</f>
        <v>0</v>
      </c>
      <c r="BS15" s="11">
        <f t="shared" si="14"/>
        <v>0</v>
      </c>
      <c r="BT15" s="11" t="e">
        <f t="shared" si="15"/>
        <v>#DIV/0!</v>
      </c>
      <c r="BU15" s="11">
        <f>BU16*BU9</f>
        <v>0</v>
      </c>
      <c r="BV15" s="11"/>
      <c r="BW15" s="11"/>
      <c r="BX15" s="11"/>
      <c r="BY15" s="11">
        <f>BY16*BY9</f>
        <v>0</v>
      </c>
      <c r="BZ15" s="11">
        <f>BZ16*BZ9</f>
        <v>0</v>
      </c>
      <c r="CA15" s="11">
        <f t="shared" si="16"/>
        <v>0</v>
      </c>
      <c r="CB15" s="11" t="e">
        <f t="shared" si="17"/>
        <v>#DIV/0!</v>
      </c>
      <c r="CC15" s="11"/>
      <c r="CD15" s="11"/>
      <c r="CE15" s="11"/>
      <c r="CF15" s="170">
        <f>CF16*CF9</f>
        <v>0</v>
      </c>
      <c r="CG15" s="11">
        <f>CG16*CG9</f>
        <v>0</v>
      </c>
      <c r="CH15" s="170">
        <f>CH16*CH9</f>
        <v>0</v>
      </c>
      <c r="CI15" s="11">
        <f t="shared" si="18"/>
        <v>0</v>
      </c>
      <c r="CJ15" s="11" t="e">
        <f t="shared" si="19"/>
        <v>#DIV/0!</v>
      </c>
      <c r="CK15" s="11">
        <f>CK16*CK9</f>
        <v>0</v>
      </c>
      <c r="CL15" s="11"/>
      <c r="CM15" s="11"/>
      <c r="CN15" s="11">
        <f>CN16*CN9</f>
        <v>0</v>
      </c>
      <c r="CO15" s="11">
        <f>CO16*CO9</f>
        <v>0</v>
      </c>
      <c r="CP15" s="11">
        <f>CP16*CP9</f>
        <v>0</v>
      </c>
      <c r="CQ15" s="11">
        <f t="shared" si="20"/>
        <v>0</v>
      </c>
      <c r="CR15" s="11" t="e">
        <f t="shared" si="21"/>
        <v>#DIV/0!</v>
      </c>
      <c r="CS15" s="11">
        <f>CS16*CS9</f>
        <v>0</v>
      </c>
      <c r="CT15" s="11"/>
      <c r="CU15" s="11"/>
      <c r="CV15" s="11"/>
      <c r="CW15" s="11">
        <f>CW16*CW9</f>
        <v>0</v>
      </c>
      <c r="CX15" s="11">
        <f>CX16*CX9</f>
        <v>0</v>
      </c>
      <c r="CY15" s="11">
        <f t="shared" si="22"/>
        <v>0</v>
      </c>
      <c r="CZ15" s="64" t="e">
        <f t="shared" si="23"/>
        <v>#DIV/0!</v>
      </c>
      <c r="DA15" s="11">
        <f>DA16*DA9</f>
        <v>0</v>
      </c>
      <c r="DB15" s="63">
        <f>DB16*DB9</f>
        <v>0</v>
      </c>
      <c r="DC15" s="11">
        <f>DC16*DC9</f>
        <v>0</v>
      </c>
      <c r="DD15" s="11">
        <f t="shared" si="24"/>
        <v>0</v>
      </c>
      <c r="DE15" s="64" t="e">
        <f t="shared" si="25"/>
        <v>#DIV/0!</v>
      </c>
    </row>
    <row r="16" spans="1:109" ht="15" customHeight="1" hidden="1">
      <c r="A16" s="98" t="s">
        <v>37</v>
      </c>
      <c r="B16" s="220"/>
      <c r="C16" s="10" t="s">
        <v>1</v>
      </c>
      <c r="D16" s="15"/>
      <c r="E16" s="15"/>
      <c r="F16" s="15"/>
      <c r="G16" s="15"/>
      <c r="H16" s="15"/>
      <c r="I16" s="15"/>
      <c r="J16" s="15"/>
      <c r="K16" s="15">
        <f t="shared" si="0"/>
        <v>0</v>
      </c>
      <c r="L16" s="15" t="e">
        <f t="shared" si="1"/>
        <v>#DIV/0!</v>
      </c>
      <c r="M16" s="15"/>
      <c r="N16" s="15"/>
      <c r="O16" s="15"/>
      <c r="P16" s="15"/>
      <c r="Q16" s="15"/>
      <c r="R16" s="15"/>
      <c r="S16" s="15"/>
      <c r="T16" s="15">
        <f t="shared" si="2"/>
        <v>0</v>
      </c>
      <c r="U16" s="15" t="e">
        <f t="shared" si="3"/>
        <v>#DIV/0!</v>
      </c>
      <c r="V16" s="15"/>
      <c r="W16" s="15"/>
      <c r="X16" s="15"/>
      <c r="Y16" s="15"/>
      <c r="Z16" s="15"/>
      <c r="AA16" s="15"/>
      <c r="AB16" s="15"/>
      <c r="AC16" s="15">
        <f t="shared" si="4"/>
        <v>0</v>
      </c>
      <c r="AD16" s="15" t="e">
        <f t="shared" si="5"/>
        <v>#DIV/0!</v>
      </c>
      <c r="AE16" s="15"/>
      <c r="AF16" s="15"/>
      <c r="AG16" s="15"/>
      <c r="AH16" s="15"/>
      <c r="AI16" s="15"/>
      <c r="AJ16" s="15"/>
      <c r="AK16" s="15"/>
      <c r="AL16" s="15">
        <f t="shared" si="6"/>
        <v>0</v>
      </c>
      <c r="AM16" s="15" t="e">
        <f t="shared" si="7"/>
        <v>#DIV/0!</v>
      </c>
      <c r="AN16" s="15"/>
      <c r="AO16" s="15"/>
      <c r="AP16" s="15"/>
      <c r="AQ16" s="15"/>
      <c r="AR16" s="15"/>
      <c r="AS16" s="15"/>
      <c r="AT16" s="15"/>
      <c r="AU16" s="15">
        <f t="shared" si="8"/>
        <v>0</v>
      </c>
      <c r="AV16" s="15" t="e">
        <f t="shared" si="9"/>
        <v>#DIV/0!</v>
      </c>
      <c r="AW16" s="15"/>
      <c r="AX16" s="15"/>
      <c r="AY16" s="15"/>
      <c r="AZ16" s="15"/>
      <c r="BA16" s="15"/>
      <c r="BB16" s="15"/>
      <c r="BC16" s="15">
        <f t="shared" si="10"/>
        <v>0</v>
      </c>
      <c r="BD16" s="15" t="e">
        <f t="shared" si="11"/>
        <v>#DIV/0!</v>
      </c>
      <c r="BE16" s="15"/>
      <c r="BF16" s="15"/>
      <c r="BG16" s="15"/>
      <c r="BH16" s="15"/>
      <c r="BI16" s="15"/>
      <c r="BJ16" s="15"/>
      <c r="BK16" s="15">
        <f t="shared" si="12"/>
        <v>0</v>
      </c>
      <c r="BL16" s="15" t="e">
        <f t="shared" si="13"/>
        <v>#DIV/0!</v>
      </c>
      <c r="BM16" s="15"/>
      <c r="BN16" s="15"/>
      <c r="BO16" s="15"/>
      <c r="BP16" s="15"/>
      <c r="BQ16" s="15"/>
      <c r="BR16" s="15"/>
      <c r="BS16" s="15">
        <f t="shared" si="14"/>
        <v>0</v>
      </c>
      <c r="BT16" s="15" t="e">
        <f t="shared" si="15"/>
        <v>#DIV/0!</v>
      </c>
      <c r="BU16" s="15"/>
      <c r="BV16" s="15"/>
      <c r="BW16" s="15"/>
      <c r="BX16" s="15"/>
      <c r="BY16" s="15"/>
      <c r="BZ16" s="15"/>
      <c r="CA16" s="15">
        <f t="shared" si="16"/>
        <v>0</v>
      </c>
      <c r="CB16" s="15" t="e">
        <f t="shared" si="17"/>
        <v>#DIV/0!</v>
      </c>
      <c r="CC16" s="15"/>
      <c r="CD16" s="15"/>
      <c r="CE16" s="15"/>
      <c r="CF16" s="173"/>
      <c r="CG16" s="15"/>
      <c r="CH16" s="173"/>
      <c r="CI16" s="15">
        <f t="shared" si="18"/>
        <v>0</v>
      </c>
      <c r="CJ16" s="15" t="e">
        <f t="shared" si="19"/>
        <v>#DIV/0!</v>
      </c>
      <c r="CK16" s="15"/>
      <c r="CL16" s="15"/>
      <c r="CM16" s="15"/>
      <c r="CN16" s="15"/>
      <c r="CO16" s="15"/>
      <c r="CP16" s="15"/>
      <c r="CQ16" s="15">
        <f t="shared" si="20"/>
        <v>0</v>
      </c>
      <c r="CR16" s="15" t="e">
        <f t="shared" si="21"/>
        <v>#DIV/0!</v>
      </c>
      <c r="CS16" s="15"/>
      <c r="CT16" s="15"/>
      <c r="CU16" s="15"/>
      <c r="CV16" s="15"/>
      <c r="CW16" s="15"/>
      <c r="CX16" s="15"/>
      <c r="CY16" s="15">
        <f t="shared" si="22"/>
        <v>0</v>
      </c>
      <c r="CZ16" s="70" t="e">
        <f t="shared" si="23"/>
        <v>#DIV/0!</v>
      </c>
      <c r="DA16" s="15"/>
      <c r="DB16" s="69"/>
      <c r="DC16" s="15"/>
      <c r="DD16" s="15">
        <f t="shared" si="24"/>
        <v>0</v>
      </c>
      <c r="DE16" s="70" t="e">
        <f t="shared" si="25"/>
        <v>#DIV/0!</v>
      </c>
    </row>
    <row r="17" spans="1:109" ht="15.75" hidden="1">
      <c r="A17" s="99">
        <v>5</v>
      </c>
      <c r="B17" s="48" t="s">
        <v>38</v>
      </c>
      <c r="C17" s="10" t="s">
        <v>0</v>
      </c>
      <c r="D17" s="14"/>
      <c r="E17" s="14"/>
      <c r="F17" s="14"/>
      <c r="G17" s="14"/>
      <c r="H17" s="14"/>
      <c r="I17" s="14"/>
      <c r="J17" s="14"/>
      <c r="K17" s="14">
        <f t="shared" si="0"/>
        <v>0</v>
      </c>
      <c r="L17" s="14" t="e">
        <f t="shared" si="1"/>
        <v>#DIV/0!</v>
      </c>
      <c r="M17" s="14"/>
      <c r="N17" s="14"/>
      <c r="O17" s="14"/>
      <c r="P17" s="14"/>
      <c r="Q17" s="14"/>
      <c r="R17" s="14"/>
      <c r="S17" s="14"/>
      <c r="T17" s="14">
        <f t="shared" si="2"/>
        <v>0</v>
      </c>
      <c r="U17" s="14" t="e">
        <f t="shared" si="3"/>
        <v>#DIV/0!</v>
      </c>
      <c r="V17" s="14"/>
      <c r="W17" s="14"/>
      <c r="X17" s="14"/>
      <c r="Y17" s="14"/>
      <c r="Z17" s="14"/>
      <c r="AA17" s="14"/>
      <c r="AB17" s="14"/>
      <c r="AC17" s="14">
        <f t="shared" si="4"/>
        <v>0</v>
      </c>
      <c r="AD17" s="14" t="e">
        <f t="shared" si="5"/>
        <v>#DIV/0!</v>
      </c>
      <c r="AE17" s="14"/>
      <c r="AF17" s="14"/>
      <c r="AG17" s="14"/>
      <c r="AH17" s="14"/>
      <c r="AI17" s="14"/>
      <c r="AJ17" s="14"/>
      <c r="AK17" s="14"/>
      <c r="AL17" s="14">
        <f t="shared" si="6"/>
        <v>0</v>
      </c>
      <c r="AM17" s="14" t="e">
        <f t="shared" si="7"/>
        <v>#DIV/0!</v>
      </c>
      <c r="AN17" s="14"/>
      <c r="AO17" s="14"/>
      <c r="AP17" s="14"/>
      <c r="AQ17" s="14"/>
      <c r="AR17" s="14"/>
      <c r="AS17" s="14"/>
      <c r="AT17" s="14"/>
      <c r="AU17" s="14">
        <f t="shared" si="8"/>
        <v>0</v>
      </c>
      <c r="AV17" s="14" t="e">
        <f t="shared" si="9"/>
        <v>#DIV/0!</v>
      </c>
      <c r="AW17" s="14"/>
      <c r="AX17" s="14"/>
      <c r="AY17" s="14"/>
      <c r="AZ17" s="14"/>
      <c r="BA17" s="14"/>
      <c r="BB17" s="14"/>
      <c r="BC17" s="14">
        <f t="shared" si="10"/>
        <v>0</v>
      </c>
      <c r="BD17" s="14" t="e">
        <f t="shared" si="11"/>
        <v>#DIV/0!</v>
      </c>
      <c r="BE17" s="14"/>
      <c r="BF17" s="14"/>
      <c r="BG17" s="14"/>
      <c r="BH17" s="14"/>
      <c r="BI17" s="14"/>
      <c r="BJ17" s="14"/>
      <c r="BK17" s="14">
        <f t="shared" si="12"/>
        <v>0</v>
      </c>
      <c r="BL17" s="14" t="e">
        <f t="shared" si="13"/>
        <v>#DIV/0!</v>
      </c>
      <c r="BM17" s="14"/>
      <c r="BN17" s="14"/>
      <c r="BO17" s="14"/>
      <c r="BP17" s="14"/>
      <c r="BQ17" s="14"/>
      <c r="BR17" s="14"/>
      <c r="BS17" s="14">
        <f t="shared" si="14"/>
        <v>0</v>
      </c>
      <c r="BT17" s="14" t="e">
        <f t="shared" si="15"/>
        <v>#DIV/0!</v>
      </c>
      <c r="BU17" s="14"/>
      <c r="BV17" s="14"/>
      <c r="BW17" s="14"/>
      <c r="BX17" s="14"/>
      <c r="BY17" s="14"/>
      <c r="BZ17" s="14"/>
      <c r="CA17" s="14">
        <f t="shared" si="16"/>
        <v>0</v>
      </c>
      <c r="CB17" s="14" t="e">
        <f t="shared" si="17"/>
        <v>#DIV/0!</v>
      </c>
      <c r="CC17" s="14"/>
      <c r="CD17" s="14"/>
      <c r="CE17" s="14"/>
      <c r="CF17" s="172"/>
      <c r="CG17" s="14"/>
      <c r="CH17" s="172"/>
      <c r="CI17" s="14">
        <f t="shared" si="18"/>
        <v>0</v>
      </c>
      <c r="CJ17" s="14" t="e">
        <f t="shared" si="19"/>
        <v>#DIV/0!</v>
      </c>
      <c r="CK17" s="14"/>
      <c r="CL17" s="14"/>
      <c r="CM17" s="14"/>
      <c r="CN17" s="14"/>
      <c r="CO17" s="14"/>
      <c r="CP17" s="14"/>
      <c r="CQ17" s="14">
        <f t="shared" si="20"/>
        <v>0</v>
      </c>
      <c r="CR17" s="14" t="e">
        <f t="shared" si="21"/>
        <v>#DIV/0!</v>
      </c>
      <c r="CS17" s="14"/>
      <c r="CT17" s="14"/>
      <c r="CU17" s="14"/>
      <c r="CV17" s="14"/>
      <c r="CW17" s="14"/>
      <c r="CX17" s="14"/>
      <c r="CY17" s="14">
        <f t="shared" si="22"/>
        <v>0</v>
      </c>
      <c r="CZ17" s="68" t="e">
        <f t="shared" si="23"/>
        <v>#DIV/0!</v>
      </c>
      <c r="DA17" s="14"/>
      <c r="DB17" s="67"/>
      <c r="DC17" s="14"/>
      <c r="DD17" s="14">
        <f t="shared" si="24"/>
        <v>0</v>
      </c>
      <c r="DE17" s="68" t="e">
        <f t="shared" si="25"/>
        <v>#DIV/0!</v>
      </c>
    </row>
    <row r="18" spans="1:109" ht="15" customHeight="1" hidden="1">
      <c r="A18" s="97">
        <v>6</v>
      </c>
      <c r="B18" s="47" t="s">
        <v>39</v>
      </c>
      <c r="C18" s="10" t="s">
        <v>36</v>
      </c>
      <c r="D18" s="11">
        <f>D9-D14-D15-D17</f>
        <v>0</v>
      </c>
      <c r="E18" s="11">
        <f>E9-E14-E15-E17</f>
        <v>0</v>
      </c>
      <c r="F18" s="11"/>
      <c r="G18" s="11"/>
      <c r="H18" s="11"/>
      <c r="I18" s="11">
        <f>I9-I14-I15-I17</f>
        <v>0</v>
      </c>
      <c r="J18" s="11">
        <f>J9-J14-J15-J17</f>
        <v>0</v>
      </c>
      <c r="K18" s="11">
        <f t="shared" si="0"/>
        <v>0</v>
      </c>
      <c r="L18" s="11" t="e">
        <f t="shared" si="1"/>
        <v>#DIV/0!</v>
      </c>
      <c r="M18" s="11">
        <f>M9-M14-M15-M17</f>
        <v>0</v>
      </c>
      <c r="N18" s="11">
        <f>N9-N14-N15-N17</f>
        <v>0</v>
      </c>
      <c r="O18" s="11"/>
      <c r="P18" s="11"/>
      <c r="Q18" s="11"/>
      <c r="R18" s="11">
        <f>R9-R14-R15-R17</f>
        <v>0</v>
      </c>
      <c r="S18" s="11">
        <f>S9-S14-S15-S17</f>
        <v>0</v>
      </c>
      <c r="T18" s="11">
        <f t="shared" si="2"/>
        <v>0</v>
      </c>
      <c r="U18" s="11" t="e">
        <f t="shared" si="3"/>
        <v>#DIV/0!</v>
      </c>
      <c r="V18" s="11">
        <f>V9-V14-V15-V17</f>
        <v>0</v>
      </c>
      <c r="W18" s="11">
        <f>W9-W14-W15-W17</f>
        <v>0</v>
      </c>
      <c r="X18" s="11"/>
      <c r="Y18" s="11"/>
      <c r="Z18" s="11"/>
      <c r="AA18" s="11">
        <f>AA9-AA14-AA15-AA17</f>
        <v>0</v>
      </c>
      <c r="AB18" s="11">
        <f>AB9-AB14-AB15-AB17</f>
        <v>0</v>
      </c>
      <c r="AC18" s="11">
        <f t="shared" si="4"/>
        <v>0</v>
      </c>
      <c r="AD18" s="11" t="e">
        <f t="shared" si="5"/>
        <v>#DIV/0!</v>
      </c>
      <c r="AE18" s="11">
        <f>AE9-AE14-AE15-AE17</f>
        <v>0</v>
      </c>
      <c r="AF18" s="11">
        <f>AF9-AF14-AF15-AF17</f>
        <v>0</v>
      </c>
      <c r="AG18" s="11"/>
      <c r="AH18" s="11"/>
      <c r="AI18" s="11"/>
      <c r="AJ18" s="11">
        <f>AJ9-AJ14-AJ15-AJ17</f>
        <v>0</v>
      </c>
      <c r="AK18" s="11">
        <f>AK9-AK14-AK15-AK17</f>
        <v>0</v>
      </c>
      <c r="AL18" s="11">
        <f t="shared" si="6"/>
        <v>0</v>
      </c>
      <c r="AM18" s="11" t="e">
        <f t="shared" si="7"/>
        <v>#DIV/0!</v>
      </c>
      <c r="AN18" s="11">
        <f>AN9-AN14-AN15-AN17</f>
        <v>0</v>
      </c>
      <c r="AO18" s="11"/>
      <c r="AP18" s="11"/>
      <c r="AQ18" s="11"/>
      <c r="AR18" s="11">
        <f>AR9-AR14-AR15-AR17</f>
        <v>0</v>
      </c>
      <c r="AS18" s="11">
        <f>AS9-AS14-AS15-AS17</f>
        <v>0</v>
      </c>
      <c r="AT18" s="11">
        <f>AT9-AT14-AT15-AT17</f>
        <v>0</v>
      </c>
      <c r="AU18" s="11">
        <f t="shared" si="8"/>
        <v>0</v>
      </c>
      <c r="AV18" s="11" t="e">
        <f t="shared" si="9"/>
        <v>#DIV/0!</v>
      </c>
      <c r="AW18" s="11">
        <f>AW9-AW14-AW15-AW17</f>
        <v>0</v>
      </c>
      <c r="AX18" s="11"/>
      <c r="AY18" s="11"/>
      <c r="AZ18" s="11">
        <f>AZ9-AZ14-AZ15-AZ17</f>
        <v>0</v>
      </c>
      <c r="BA18" s="11">
        <f>BA9-BA14-BA15-BA17</f>
        <v>0</v>
      </c>
      <c r="BB18" s="11">
        <f>BB9-BB14-BB15-BB17</f>
        <v>0</v>
      </c>
      <c r="BC18" s="11">
        <f t="shared" si="10"/>
        <v>0</v>
      </c>
      <c r="BD18" s="11" t="e">
        <f t="shared" si="11"/>
        <v>#DIV/0!</v>
      </c>
      <c r="BE18" s="11">
        <f>BE9-BE14-BE15-BE17</f>
        <v>0</v>
      </c>
      <c r="BF18" s="11"/>
      <c r="BG18" s="11"/>
      <c r="BH18" s="11">
        <f>BH9-BH14-BH15-BH17</f>
        <v>0</v>
      </c>
      <c r="BI18" s="11">
        <f>BI9-BI14-BI15-BI17</f>
        <v>0</v>
      </c>
      <c r="BJ18" s="11">
        <f>BJ9-BJ14-BJ15-BJ17</f>
        <v>0</v>
      </c>
      <c r="BK18" s="11">
        <f t="shared" si="12"/>
        <v>0</v>
      </c>
      <c r="BL18" s="11" t="e">
        <f t="shared" si="13"/>
        <v>#DIV/0!</v>
      </c>
      <c r="BM18" s="11">
        <f>BM9-BM14-BM15-BM17</f>
        <v>0</v>
      </c>
      <c r="BN18" s="11">
        <f>BN9-BN14-BN15-BN17</f>
        <v>0</v>
      </c>
      <c r="BO18" s="11"/>
      <c r="BP18" s="11"/>
      <c r="BQ18" s="11">
        <f>BQ9-BQ14-BQ15-BQ17</f>
        <v>0</v>
      </c>
      <c r="BR18" s="11">
        <f>BR9-BR14-BR15-BR17</f>
        <v>0</v>
      </c>
      <c r="BS18" s="11">
        <f t="shared" si="14"/>
        <v>0</v>
      </c>
      <c r="BT18" s="11" t="e">
        <f t="shared" si="15"/>
        <v>#DIV/0!</v>
      </c>
      <c r="BU18" s="11">
        <f>BU9-BU14-BU15-BU17</f>
        <v>0</v>
      </c>
      <c r="BV18" s="11"/>
      <c r="BW18" s="11"/>
      <c r="BX18" s="11"/>
      <c r="BY18" s="11">
        <f>BY9-BY14-BY15-BY17</f>
        <v>0</v>
      </c>
      <c r="BZ18" s="11">
        <f>BZ9-BZ14-BZ15-BZ17</f>
        <v>0</v>
      </c>
      <c r="CA18" s="11">
        <f t="shared" si="16"/>
        <v>0</v>
      </c>
      <c r="CB18" s="11" t="e">
        <f t="shared" si="17"/>
        <v>#DIV/0!</v>
      </c>
      <c r="CC18" s="11"/>
      <c r="CD18" s="11"/>
      <c r="CE18" s="11"/>
      <c r="CF18" s="170">
        <f>CF9-CF14-CF15-CF17</f>
        <v>0</v>
      </c>
      <c r="CG18" s="11">
        <f>CG9-CG14-CG15-CG17</f>
        <v>0</v>
      </c>
      <c r="CH18" s="170">
        <f>CH9-CH14-CH15-CH17</f>
        <v>0</v>
      </c>
      <c r="CI18" s="11">
        <f t="shared" si="18"/>
        <v>0</v>
      </c>
      <c r="CJ18" s="11" t="e">
        <f t="shared" si="19"/>
        <v>#DIV/0!</v>
      </c>
      <c r="CK18" s="11">
        <f>CK9-CK14-CK15-CK17</f>
        <v>0</v>
      </c>
      <c r="CL18" s="11"/>
      <c r="CM18" s="11"/>
      <c r="CN18" s="11">
        <f>CN9-CN14-CN15-CN17</f>
        <v>0</v>
      </c>
      <c r="CO18" s="11">
        <f>CO9-CO14-CO15-CO17</f>
        <v>0</v>
      </c>
      <c r="CP18" s="11">
        <f>CP9-CP14-CP15-CP17</f>
        <v>0</v>
      </c>
      <c r="CQ18" s="11">
        <f t="shared" si="20"/>
        <v>0</v>
      </c>
      <c r="CR18" s="11" t="e">
        <f t="shared" si="21"/>
        <v>#DIV/0!</v>
      </c>
      <c r="CS18" s="11">
        <f>CS9-CS14-CS15-CS17</f>
        <v>0</v>
      </c>
      <c r="CT18" s="11"/>
      <c r="CU18" s="11"/>
      <c r="CV18" s="11"/>
      <c r="CW18" s="11">
        <f>CW9-CW14-CW15-CW17</f>
        <v>0</v>
      </c>
      <c r="CX18" s="11">
        <f>CX9-CX14-CX15-CX17</f>
        <v>0</v>
      </c>
      <c r="CY18" s="11">
        <f t="shared" si="22"/>
        <v>0</v>
      </c>
      <c r="CZ18" s="64" t="e">
        <f t="shared" si="23"/>
        <v>#DIV/0!</v>
      </c>
      <c r="DA18" s="11">
        <f>DA9-DA14-DA15-DA17</f>
        <v>0</v>
      </c>
      <c r="DB18" s="63">
        <f>DB9-DB14-DB15-DB17</f>
        <v>0</v>
      </c>
      <c r="DC18" s="11">
        <f>DC9-DC14-DC15-DC17</f>
        <v>0</v>
      </c>
      <c r="DD18" s="11">
        <f t="shared" si="24"/>
        <v>0</v>
      </c>
      <c r="DE18" s="64" t="e">
        <f t="shared" si="25"/>
        <v>#DIV/0!</v>
      </c>
    </row>
    <row r="19" spans="1:109" ht="18.75" hidden="1">
      <c r="A19" s="99">
        <v>7</v>
      </c>
      <c r="B19" s="220" t="s">
        <v>40</v>
      </c>
      <c r="C19" s="10" t="s">
        <v>36</v>
      </c>
      <c r="D19" s="11">
        <f>D18-D21</f>
        <v>0</v>
      </c>
      <c r="E19" s="11">
        <f>E18-E21</f>
        <v>0</v>
      </c>
      <c r="F19" s="11"/>
      <c r="G19" s="11"/>
      <c r="H19" s="11"/>
      <c r="I19" s="11">
        <f>I18-I21</f>
        <v>0</v>
      </c>
      <c r="J19" s="11">
        <f>J18-J21</f>
        <v>0</v>
      </c>
      <c r="K19" s="11">
        <f t="shared" si="0"/>
        <v>0</v>
      </c>
      <c r="L19" s="11" t="e">
        <f t="shared" si="1"/>
        <v>#DIV/0!</v>
      </c>
      <c r="M19" s="11">
        <f>M18-M21</f>
        <v>0</v>
      </c>
      <c r="N19" s="11">
        <f>N18-N21</f>
        <v>0</v>
      </c>
      <c r="O19" s="11"/>
      <c r="P19" s="11"/>
      <c r="Q19" s="11"/>
      <c r="R19" s="11">
        <f>R18-R21</f>
        <v>0</v>
      </c>
      <c r="S19" s="11">
        <f>S18-S21</f>
        <v>0</v>
      </c>
      <c r="T19" s="11">
        <f t="shared" si="2"/>
        <v>0</v>
      </c>
      <c r="U19" s="11" t="e">
        <f t="shared" si="3"/>
        <v>#DIV/0!</v>
      </c>
      <c r="V19" s="11">
        <f>V18-V21</f>
        <v>0</v>
      </c>
      <c r="W19" s="11">
        <f>W18-W21</f>
        <v>0</v>
      </c>
      <c r="X19" s="11"/>
      <c r="Y19" s="11"/>
      <c r="Z19" s="11"/>
      <c r="AA19" s="11">
        <f>AA18-AA21</f>
        <v>0</v>
      </c>
      <c r="AB19" s="11">
        <f>AB18-AB21</f>
        <v>0</v>
      </c>
      <c r="AC19" s="11">
        <f t="shared" si="4"/>
        <v>0</v>
      </c>
      <c r="AD19" s="11" t="e">
        <f t="shared" si="5"/>
        <v>#DIV/0!</v>
      </c>
      <c r="AE19" s="11">
        <f>AE18-AE21</f>
        <v>0</v>
      </c>
      <c r="AF19" s="11">
        <f>AF18-AF21</f>
        <v>0</v>
      </c>
      <c r="AG19" s="11"/>
      <c r="AH19" s="11"/>
      <c r="AI19" s="11"/>
      <c r="AJ19" s="11">
        <f>AJ18-AJ21</f>
        <v>0</v>
      </c>
      <c r="AK19" s="11">
        <f>AK18-AK21</f>
        <v>0</v>
      </c>
      <c r="AL19" s="11">
        <f t="shared" si="6"/>
        <v>0</v>
      </c>
      <c r="AM19" s="11" t="e">
        <f t="shared" si="7"/>
        <v>#DIV/0!</v>
      </c>
      <c r="AN19" s="11">
        <f>AN18-AN21</f>
        <v>0</v>
      </c>
      <c r="AO19" s="11"/>
      <c r="AP19" s="11"/>
      <c r="AQ19" s="11"/>
      <c r="AR19" s="11">
        <f>AR18-AR21</f>
        <v>0</v>
      </c>
      <c r="AS19" s="11">
        <f>AS18-AS21</f>
        <v>0</v>
      </c>
      <c r="AT19" s="11">
        <f>AT18-AT21</f>
        <v>0</v>
      </c>
      <c r="AU19" s="11">
        <f t="shared" si="8"/>
        <v>0</v>
      </c>
      <c r="AV19" s="11" t="e">
        <f t="shared" si="9"/>
        <v>#DIV/0!</v>
      </c>
      <c r="AW19" s="11">
        <f>AW18-AW21</f>
        <v>0</v>
      </c>
      <c r="AX19" s="11"/>
      <c r="AY19" s="11"/>
      <c r="AZ19" s="11">
        <f>AZ18-AZ21</f>
        <v>0</v>
      </c>
      <c r="BA19" s="11">
        <f>BA18-BA21</f>
        <v>0</v>
      </c>
      <c r="BB19" s="11">
        <f>BB18-BB21</f>
        <v>0</v>
      </c>
      <c r="BC19" s="11">
        <f t="shared" si="10"/>
        <v>0</v>
      </c>
      <c r="BD19" s="11" t="e">
        <f t="shared" si="11"/>
        <v>#DIV/0!</v>
      </c>
      <c r="BE19" s="11">
        <f>BE18-BE21</f>
        <v>0</v>
      </c>
      <c r="BF19" s="11"/>
      <c r="BG19" s="11"/>
      <c r="BH19" s="11">
        <f>BH18-BH21</f>
        <v>0</v>
      </c>
      <c r="BI19" s="11">
        <f>BI18-BI21</f>
        <v>0</v>
      </c>
      <c r="BJ19" s="11">
        <f>BJ18-BJ21</f>
        <v>0</v>
      </c>
      <c r="BK19" s="11">
        <f t="shared" si="12"/>
        <v>0</v>
      </c>
      <c r="BL19" s="11" t="e">
        <f t="shared" si="13"/>
        <v>#DIV/0!</v>
      </c>
      <c r="BM19" s="11">
        <f>BM18-BM21</f>
        <v>0</v>
      </c>
      <c r="BN19" s="11">
        <f>BN18-BN21</f>
        <v>0</v>
      </c>
      <c r="BO19" s="11"/>
      <c r="BP19" s="11"/>
      <c r="BQ19" s="11">
        <f>BQ18-BQ21</f>
        <v>0</v>
      </c>
      <c r="BR19" s="11">
        <f>BR18-BR21</f>
        <v>0</v>
      </c>
      <c r="BS19" s="11">
        <f t="shared" si="14"/>
        <v>0</v>
      </c>
      <c r="BT19" s="11" t="e">
        <f t="shared" si="15"/>
        <v>#DIV/0!</v>
      </c>
      <c r="BU19" s="11">
        <f>BU18-BU21</f>
        <v>0</v>
      </c>
      <c r="BV19" s="11"/>
      <c r="BW19" s="11"/>
      <c r="BX19" s="11"/>
      <c r="BY19" s="11">
        <f>BY18-BY21</f>
        <v>0</v>
      </c>
      <c r="BZ19" s="11">
        <f>BZ18-BZ21</f>
        <v>0</v>
      </c>
      <c r="CA19" s="11">
        <f t="shared" si="16"/>
        <v>0</v>
      </c>
      <c r="CB19" s="11" t="e">
        <f t="shared" si="17"/>
        <v>#DIV/0!</v>
      </c>
      <c r="CC19" s="11"/>
      <c r="CD19" s="11"/>
      <c r="CE19" s="11"/>
      <c r="CF19" s="170">
        <f>CF18-CF21</f>
        <v>0</v>
      </c>
      <c r="CG19" s="11">
        <f>CG18-CG21</f>
        <v>0</v>
      </c>
      <c r="CH19" s="170">
        <f>CH18-CH21</f>
        <v>0</v>
      </c>
      <c r="CI19" s="11">
        <f t="shared" si="18"/>
        <v>0</v>
      </c>
      <c r="CJ19" s="11" t="e">
        <f t="shared" si="19"/>
        <v>#DIV/0!</v>
      </c>
      <c r="CK19" s="11">
        <f>CK18-CK21</f>
        <v>0</v>
      </c>
      <c r="CL19" s="11"/>
      <c r="CM19" s="11"/>
      <c r="CN19" s="11">
        <f>CN18-CN21</f>
        <v>0</v>
      </c>
      <c r="CO19" s="11">
        <f>CO18-CO21</f>
        <v>0</v>
      </c>
      <c r="CP19" s="11">
        <f>CP18-CP21</f>
        <v>0</v>
      </c>
      <c r="CQ19" s="11">
        <f t="shared" si="20"/>
        <v>0</v>
      </c>
      <c r="CR19" s="11" t="e">
        <f t="shared" si="21"/>
        <v>#DIV/0!</v>
      </c>
      <c r="CS19" s="11">
        <f>CS18-CS21</f>
        <v>0</v>
      </c>
      <c r="CT19" s="11"/>
      <c r="CU19" s="11"/>
      <c r="CV19" s="11"/>
      <c r="CW19" s="11">
        <f>CW18-CW21</f>
        <v>0</v>
      </c>
      <c r="CX19" s="11">
        <f>CX18-CX21</f>
        <v>0</v>
      </c>
      <c r="CY19" s="11">
        <f t="shared" si="22"/>
        <v>0</v>
      </c>
      <c r="CZ19" s="64" t="e">
        <f t="shared" si="23"/>
        <v>#DIV/0!</v>
      </c>
      <c r="DA19" s="11">
        <f>DA18-DA21</f>
        <v>0</v>
      </c>
      <c r="DB19" s="63">
        <f>DB18-DB21</f>
        <v>0</v>
      </c>
      <c r="DC19" s="11">
        <f>DC18-DC21</f>
        <v>0</v>
      </c>
      <c r="DD19" s="11">
        <f t="shared" si="24"/>
        <v>0</v>
      </c>
      <c r="DE19" s="64" t="e">
        <f t="shared" si="25"/>
        <v>#DIV/0!</v>
      </c>
    </row>
    <row r="20" spans="1:109" ht="15.75" hidden="1">
      <c r="A20" s="98" t="s">
        <v>41</v>
      </c>
      <c r="B20" s="220"/>
      <c r="C20" s="10" t="s">
        <v>1</v>
      </c>
      <c r="D20" s="16">
        <f>IF(D9=0,0,D19/D9)</f>
        <v>0</v>
      </c>
      <c r="E20" s="16">
        <f>IF(E9=0,0,E19/E9)</f>
        <v>0</v>
      </c>
      <c r="F20" s="16"/>
      <c r="G20" s="16"/>
      <c r="H20" s="16"/>
      <c r="I20" s="16">
        <f>IF(I9=0,0,I19/I9)</f>
        <v>0</v>
      </c>
      <c r="J20" s="16">
        <f>IF(J9=0,0,J19/J9)</f>
        <v>0</v>
      </c>
      <c r="K20" s="16">
        <f t="shared" si="0"/>
        <v>0</v>
      </c>
      <c r="L20" s="16" t="e">
        <f t="shared" si="1"/>
        <v>#DIV/0!</v>
      </c>
      <c r="M20" s="16">
        <f>IF(M9=0,0,M19/M9)</f>
        <v>0</v>
      </c>
      <c r="N20" s="16">
        <f>IF(N9=0,0,N19/N9)</f>
        <v>0</v>
      </c>
      <c r="O20" s="16"/>
      <c r="P20" s="16"/>
      <c r="Q20" s="16"/>
      <c r="R20" s="16">
        <f>IF(R9=0,0,R19/R9)</f>
        <v>0</v>
      </c>
      <c r="S20" s="16">
        <f>IF(S9=0,0,S19/S9)</f>
        <v>0</v>
      </c>
      <c r="T20" s="16">
        <f t="shared" si="2"/>
        <v>0</v>
      </c>
      <c r="U20" s="16" t="e">
        <f t="shared" si="3"/>
        <v>#DIV/0!</v>
      </c>
      <c r="V20" s="16">
        <f>IF(V9=0,0,V19/V9)</f>
        <v>0</v>
      </c>
      <c r="W20" s="16">
        <f>IF(W9=0,0,W19/W9)</f>
        <v>0</v>
      </c>
      <c r="X20" s="16"/>
      <c r="Y20" s="16"/>
      <c r="Z20" s="16"/>
      <c r="AA20" s="16">
        <f>IF(AA9=0,0,AA19/AA9)</f>
        <v>0</v>
      </c>
      <c r="AB20" s="16">
        <f>IF(AB9=0,0,AB19/AB9)</f>
        <v>0</v>
      </c>
      <c r="AC20" s="16">
        <f t="shared" si="4"/>
        <v>0</v>
      </c>
      <c r="AD20" s="16" t="e">
        <f t="shared" si="5"/>
        <v>#DIV/0!</v>
      </c>
      <c r="AE20" s="16">
        <f>IF(AE9=0,0,AE19/AE9)</f>
        <v>0</v>
      </c>
      <c r="AF20" s="16">
        <f>IF(AF9=0,0,AF19/AF9)</f>
        <v>0</v>
      </c>
      <c r="AG20" s="16"/>
      <c r="AH20" s="16"/>
      <c r="AI20" s="16"/>
      <c r="AJ20" s="16">
        <f>IF(AJ9=0,0,AJ19/AJ9)</f>
        <v>0</v>
      </c>
      <c r="AK20" s="16">
        <f>IF(AK9=0,0,AK19/AK9)</f>
        <v>0</v>
      </c>
      <c r="AL20" s="16">
        <f t="shared" si="6"/>
        <v>0</v>
      </c>
      <c r="AM20" s="16" t="e">
        <f t="shared" si="7"/>
        <v>#DIV/0!</v>
      </c>
      <c r="AN20" s="16">
        <f>IF(AN9=0,0,AN19/AN9)</f>
        <v>0</v>
      </c>
      <c r="AO20" s="16"/>
      <c r="AP20" s="16"/>
      <c r="AQ20" s="16"/>
      <c r="AR20" s="16">
        <f>IF(AR9=0,0,AR19/AR9)</f>
        <v>0</v>
      </c>
      <c r="AS20" s="16">
        <f>IF(AS9=0,0,AS19/AS9)</f>
        <v>0</v>
      </c>
      <c r="AT20" s="16">
        <f>IF(AT9=0,0,AT19/AT9)</f>
        <v>0</v>
      </c>
      <c r="AU20" s="16">
        <f t="shared" si="8"/>
        <v>0</v>
      </c>
      <c r="AV20" s="16" t="e">
        <f t="shared" si="9"/>
        <v>#DIV/0!</v>
      </c>
      <c r="AW20" s="16">
        <f>IF(AW9=0,0,AW19/AW9)</f>
        <v>0</v>
      </c>
      <c r="AX20" s="16"/>
      <c r="AY20" s="16"/>
      <c r="AZ20" s="16">
        <f>IF(AZ9=0,0,AZ19/AZ9)</f>
        <v>0</v>
      </c>
      <c r="BA20" s="16">
        <f>IF(BA9=0,0,BA19/BA9)</f>
        <v>0</v>
      </c>
      <c r="BB20" s="16">
        <f>IF(BB9=0,0,BB19/BB9)</f>
        <v>0</v>
      </c>
      <c r="BC20" s="16">
        <f t="shared" si="10"/>
        <v>0</v>
      </c>
      <c r="BD20" s="16" t="e">
        <f t="shared" si="11"/>
        <v>#DIV/0!</v>
      </c>
      <c r="BE20" s="16">
        <f>IF(BE9=0,0,BE19/BE9)</f>
        <v>0</v>
      </c>
      <c r="BF20" s="16"/>
      <c r="BG20" s="16"/>
      <c r="BH20" s="16">
        <f>IF(BH9=0,0,BH19/BH9)</f>
        <v>0</v>
      </c>
      <c r="BI20" s="16">
        <f>IF(BI9=0,0,BI19/BI9)</f>
        <v>0</v>
      </c>
      <c r="BJ20" s="16">
        <f>IF(BJ9=0,0,BJ19/BJ9)</f>
        <v>0</v>
      </c>
      <c r="BK20" s="16">
        <f t="shared" si="12"/>
        <v>0</v>
      </c>
      <c r="BL20" s="16" t="e">
        <f t="shared" si="13"/>
        <v>#DIV/0!</v>
      </c>
      <c r="BM20" s="16">
        <f>IF(BM9=0,0,BM19/BM9)</f>
        <v>0</v>
      </c>
      <c r="BN20" s="16">
        <f>IF(BN9=0,0,BN19/BN9)</f>
        <v>0</v>
      </c>
      <c r="BO20" s="16"/>
      <c r="BP20" s="16"/>
      <c r="BQ20" s="16">
        <f>IF(BQ9=0,0,BQ19/BQ9)</f>
        <v>0</v>
      </c>
      <c r="BR20" s="16">
        <f>IF(BR9=0,0,BR19/BR9)</f>
        <v>0</v>
      </c>
      <c r="BS20" s="16">
        <f t="shared" si="14"/>
        <v>0</v>
      </c>
      <c r="BT20" s="16" t="e">
        <f t="shared" si="15"/>
        <v>#DIV/0!</v>
      </c>
      <c r="BU20" s="16">
        <f>IF(BU9=0,0,BU19/BU9)</f>
        <v>0</v>
      </c>
      <c r="BV20" s="16"/>
      <c r="BW20" s="16"/>
      <c r="BX20" s="16"/>
      <c r="BY20" s="16">
        <f>IF(BY9=0,0,BY19/BY9)</f>
        <v>0</v>
      </c>
      <c r="BZ20" s="16">
        <f>IF(BZ9=0,0,BZ19/BZ9)</f>
        <v>0</v>
      </c>
      <c r="CA20" s="16">
        <f t="shared" si="16"/>
        <v>0</v>
      </c>
      <c r="CB20" s="16" t="e">
        <f t="shared" si="17"/>
        <v>#DIV/0!</v>
      </c>
      <c r="CC20" s="16"/>
      <c r="CD20" s="16"/>
      <c r="CE20" s="16"/>
      <c r="CF20" s="174">
        <f>IF(CF9=0,0,CF19/CF9)</f>
        <v>0</v>
      </c>
      <c r="CG20" s="16">
        <f>IF(CG9=0,0,CG19/CG9)</f>
        <v>0</v>
      </c>
      <c r="CH20" s="174">
        <f>IF(CH9=0,0,CH19/CH9)</f>
        <v>0</v>
      </c>
      <c r="CI20" s="16">
        <f t="shared" si="18"/>
        <v>0</v>
      </c>
      <c r="CJ20" s="16" t="e">
        <f t="shared" si="19"/>
        <v>#DIV/0!</v>
      </c>
      <c r="CK20" s="16">
        <f>IF(CK9=0,0,CK19/CK9)</f>
        <v>0</v>
      </c>
      <c r="CL20" s="16"/>
      <c r="CM20" s="16"/>
      <c r="CN20" s="16">
        <f>IF(CN9=0,0,CN19/CN9)</f>
        <v>0</v>
      </c>
      <c r="CO20" s="16">
        <f>IF(CO9=0,0,CO19/CO9)</f>
        <v>0</v>
      </c>
      <c r="CP20" s="16">
        <f>IF(CP9=0,0,CP19/CP9)</f>
        <v>0</v>
      </c>
      <c r="CQ20" s="16">
        <f t="shared" si="20"/>
        <v>0</v>
      </c>
      <c r="CR20" s="16" t="e">
        <f t="shared" si="21"/>
        <v>#DIV/0!</v>
      </c>
      <c r="CS20" s="16">
        <f>IF(CS9=0,0,CS19/CS9)</f>
        <v>0</v>
      </c>
      <c r="CT20" s="16"/>
      <c r="CU20" s="16"/>
      <c r="CV20" s="16"/>
      <c r="CW20" s="16">
        <f>IF(CW9=0,0,CW19/CW9)</f>
        <v>0</v>
      </c>
      <c r="CX20" s="16">
        <f>IF(CX9=0,0,CX19/CX9)</f>
        <v>0</v>
      </c>
      <c r="CY20" s="16">
        <f t="shared" si="22"/>
        <v>0</v>
      </c>
      <c r="CZ20" s="72" t="e">
        <f t="shared" si="23"/>
        <v>#DIV/0!</v>
      </c>
      <c r="DA20" s="16">
        <f>IF(DA9=0,0,DA19/DA9)</f>
        <v>0</v>
      </c>
      <c r="DB20" s="71">
        <f>IF(DB9=0,0,DB19/DB9)</f>
        <v>0</v>
      </c>
      <c r="DC20" s="16">
        <f>IF(DC9=0,0,DC19/DC9)</f>
        <v>0</v>
      </c>
      <c r="DD20" s="16">
        <f t="shared" si="24"/>
        <v>0</v>
      </c>
      <c r="DE20" s="72" t="e">
        <f t="shared" si="25"/>
        <v>#DIV/0!</v>
      </c>
    </row>
    <row r="21" spans="1:109" ht="18.75" hidden="1">
      <c r="A21" s="99">
        <v>8</v>
      </c>
      <c r="B21" s="9" t="s">
        <v>42</v>
      </c>
      <c r="C21" s="10" t="s">
        <v>36</v>
      </c>
      <c r="D21" s="11">
        <f>SUM(D22:D23)</f>
        <v>0</v>
      </c>
      <c r="E21" s="11">
        <f>SUM(E22:E23)</f>
        <v>0</v>
      </c>
      <c r="F21" s="11"/>
      <c r="G21" s="11"/>
      <c r="H21" s="11"/>
      <c r="I21" s="11">
        <f>SUM(I22:I23)</f>
        <v>0</v>
      </c>
      <c r="J21" s="11">
        <f>SUM(J22:J23)</f>
        <v>0</v>
      </c>
      <c r="K21" s="11">
        <f t="shared" si="0"/>
        <v>0</v>
      </c>
      <c r="L21" s="11" t="e">
        <f t="shared" si="1"/>
        <v>#DIV/0!</v>
      </c>
      <c r="M21" s="11">
        <f>SUM(M22:M23)</f>
        <v>0</v>
      </c>
      <c r="N21" s="11">
        <f>SUM(N22:N23)</f>
        <v>0</v>
      </c>
      <c r="O21" s="11"/>
      <c r="P21" s="11"/>
      <c r="Q21" s="11"/>
      <c r="R21" s="11">
        <f>SUM(R22:R23)</f>
        <v>0</v>
      </c>
      <c r="S21" s="11">
        <f>SUM(S22:S23)</f>
        <v>0</v>
      </c>
      <c r="T21" s="11">
        <f t="shared" si="2"/>
        <v>0</v>
      </c>
      <c r="U21" s="11" t="e">
        <f t="shared" si="3"/>
        <v>#DIV/0!</v>
      </c>
      <c r="V21" s="11">
        <f>SUM(V22:V23)</f>
        <v>0</v>
      </c>
      <c r="W21" s="11">
        <f>SUM(W22:W23)</f>
        <v>0</v>
      </c>
      <c r="X21" s="11"/>
      <c r="Y21" s="11"/>
      <c r="Z21" s="11"/>
      <c r="AA21" s="11">
        <f>SUM(AA22:AA23)</f>
        <v>0</v>
      </c>
      <c r="AB21" s="11">
        <f>SUM(AB22:AB23)</f>
        <v>0</v>
      </c>
      <c r="AC21" s="11">
        <f t="shared" si="4"/>
        <v>0</v>
      </c>
      <c r="AD21" s="11" t="e">
        <f t="shared" si="5"/>
        <v>#DIV/0!</v>
      </c>
      <c r="AE21" s="11">
        <f>SUM(AE22:AE23)</f>
        <v>0</v>
      </c>
      <c r="AF21" s="11">
        <f>SUM(AF22:AF23)</f>
        <v>0</v>
      </c>
      <c r="AG21" s="11"/>
      <c r="AH21" s="11"/>
      <c r="AI21" s="11"/>
      <c r="AJ21" s="11">
        <f>SUM(AJ22:AJ23)</f>
        <v>0</v>
      </c>
      <c r="AK21" s="11">
        <f>SUM(AK22:AK23)</f>
        <v>0</v>
      </c>
      <c r="AL21" s="11">
        <f t="shared" si="6"/>
        <v>0</v>
      </c>
      <c r="AM21" s="11" t="e">
        <f t="shared" si="7"/>
        <v>#DIV/0!</v>
      </c>
      <c r="AN21" s="11">
        <f>SUM(AN22:AN23)</f>
        <v>0</v>
      </c>
      <c r="AO21" s="11"/>
      <c r="AP21" s="11"/>
      <c r="AQ21" s="11"/>
      <c r="AR21" s="11">
        <f>SUM(AR22:AR23)</f>
        <v>0</v>
      </c>
      <c r="AS21" s="11">
        <f>SUM(AS22:AS23)</f>
        <v>0</v>
      </c>
      <c r="AT21" s="11">
        <f>SUM(AT22:AT23)</f>
        <v>0</v>
      </c>
      <c r="AU21" s="11">
        <f t="shared" si="8"/>
        <v>0</v>
      </c>
      <c r="AV21" s="11" t="e">
        <f t="shared" si="9"/>
        <v>#DIV/0!</v>
      </c>
      <c r="AW21" s="11">
        <f>SUM(AW22:AW23)</f>
        <v>0</v>
      </c>
      <c r="AX21" s="11"/>
      <c r="AY21" s="11"/>
      <c r="AZ21" s="11">
        <f>SUM(AZ22:AZ23)</f>
        <v>0</v>
      </c>
      <c r="BA21" s="11">
        <f>SUM(BA22:BA23)</f>
        <v>0</v>
      </c>
      <c r="BB21" s="11">
        <f>SUM(BB22:BB23)</f>
        <v>0</v>
      </c>
      <c r="BC21" s="11">
        <f t="shared" si="10"/>
        <v>0</v>
      </c>
      <c r="BD21" s="11" t="e">
        <f t="shared" si="11"/>
        <v>#DIV/0!</v>
      </c>
      <c r="BE21" s="11">
        <f>SUM(BE22:BE23)</f>
        <v>0</v>
      </c>
      <c r="BF21" s="11"/>
      <c r="BG21" s="11"/>
      <c r="BH21" s="11">
        <f>SUM(BH22:BH23)</f>
        <v>0</v>
      </c>
      <c r="BI21" s="11">
        <f>SUM(BI22:BI23)</f>
        <v>0</v>
      </c>
      <c r="BJ21" s="11">
        <f>SUM(BJ22:BJ23)</f>
        <v>0</v>
      </c>
      <c r="BK21" s="11">
        <f t="shared" si="12"/>
        <v>0</v>
      </c>
      <c r="BL21" s="11" t="e">
        <f t="shared" si="13"/>
        <v>#DIV/0!</v>
      </c>
      <c r="BM21" s="11">
        <f>SUM(BM22:BM23)</f>
        <v>0</v>
      </c>
      <c r="BN21" s="11">
        <f>SUM(BN22:BN23)</f>
        <v>0</v>
      </c>
      <c r="BO21" s="11"/>
      <c r="BP21" s="11"/>
      <c r="BQ21" s="11">
        <f>SUM(BQ22:BQ23)</f>
        <v>0</v>
      </c>
      <c r="BR21" s="11">
        <f>SUM(BR22:BR23)</f>
        <v>0</v>
      </c>
      <c r="BS21" s="11">
        <f t="shared" si="14"/>
        <v>0</v>
      </c>
      <c r="BT21" s="11" t="e">
        <f t="shared" si="15"/>
        <v>#DIV/0!</v>
      </c>
      <c r="BU21" s="11">
        <f>SUM(BU22:BU23)</f>
        <v>0</v>
      </c>
      <c r="BV21" s="11"/>
      <c r="BW21" s="11"/>
      <c r="BX21" s="11"/>
      <c r="BY21" s="11">
        <f>SUM(BY22:BY23)</f>
        <v>0</v>
      </c>
      <c r="BZ21" s="11">
        <f>SUM(BZ22:BZ23)</f>
        <v>0</v>
      </c>
      <c r="CA21" s="11">
        <f t="shared" si="16"/>
        <v>0</v>
      </c>
      <c r="CB21" s="11" t="e">
        <f t="shared" si="17"/>
        <v>#DIV/0!</v>
      </c>
      <c r="CC21" s="11"/>
      <c r="CD21" s="11"/>
      <c r="CE21" s="11"/>
      <c r="CF21" s="170">
        <f>SUM(CF22:CF23)</f>
        <v>0</v>
      </c>
      <c r="CG21" s="11">
        <f>SUM(CG22:CG23)</f>
        <v>0</v>
      </c>
      <c r="CH21" s="170">
        <f>SUM(CH22:CH23)</f>
        <v>0</v>
      </c>
      <c r="CI21" s="11">
        <f t="shared" si="18"/>
        <v>0</v>
      </c>
      <c r="CJ21" s="11" t="e">
        <f t="shared" si="19"/>
        <v>#DIV/0!</v>
      </c>
      <c r="CK21" s="11">
        <f>SUM(CK22:CK23)</f>
        <v>0</v>
      </c>
      <c r="CL21" s="11"/>
      <c r="CM21" s="11"/>
      <c r="CN21" s="11">
        <f>SUM(CN22:CN23)</f>
        <v>0</v>
      </c>
      <c r="CO21" s="11">
        <f>SUM(CO22:CO23)</f>
        <v>0</v>
      </c>
      <c r="CP21" s="11">
        <f>SUM(CP22:CP23)</f>
        <v>0</v>
      </c>
      <c r="CQ21" s="11">
        <f t="shared" si="20"/>
        <v>0</v>
      </c>
      <c r="CR21" s="11" t="e">
        <f t="shared" si="21"/>
        <v>#DIV/0!</v>
      </c>
      <c r="CS21" s="11">
        <f>SUM(CS22:CS23)</f>
        <v>0</v>
      </c>
      <c r="CT21" s="11"/>
      <c r="CU21" s="11"/>
      <c r="CV21" s="11"/>
      <c r="CW21" s="11">
        <f>SUM(CW22:CW23)</f>
        <v>0</v>
      </c>
      <c r="CX21" s="11">
        <f>SUM(CX22:CX23)</f>
        <v>0</v>
      </c>
      <c r="CY21" s="11">
        <f t="shared" si="22"/>
        <v>0</v>
      </c>
      <c r="CZ21" s="64" t="e">
        <f t="shared" si="23"/>
        <v>#DIV/0!</v>
      </c>
      <c r="DA21" s="11">
        <f>SUM(DA22:DA23)</f>
        <v>0</v>
      </c>
      <c r="DB21" s="63">
        <f>SUM(DB22:DB23)</f>
        <v>0</v>
      </c>
      <c r="DC21" s="11">
        <f>SUM(DC22:DC23)</f>
        <v>0</v>
      </c>
      <c r="DD21" s="11">
        <f t="shared" si="24"/>
        <v>0</v>
      </c>
      <c r="DE21" s="64" t="e">
        <f t="shared" si="25"/>
        <v>#DIV/0!</v>
      </c>
    </row>
    <row r="22" spans="1:109" ht="18.75" hidden="1">
      <c r="A22" s="98" t="s">
        <v>43</v>
      </c>
      <c r="B22" s="48" t="s">
        <v>44</v>
      </c>
      <c r="C22" s="10" t="s">
        <v>36</v>
      </c>
      <c r="D22" s="13"/>
      <c r="E22" s="13"/>
      <c r="F22" s="13"/>
      <c r="G22" s="13"/>
      <c r="H22" s="13"/>
      <c r="I22" s="13"/>
      <c r="J22" s="13"/>
      <c r="K22" s="13">
        <f t="shared" si="0"/>
        <v>0</v>
      </c>
      <c r="L22" s="13" t="e">
        <f t="shared" si="1"/>
        <v>#DIV/0!</v>
      </c>
      <c r="M22" s="13"/>
      <c r="N22" s="13"/>
      <c r="O22" s="13"/>
      <c r="P22" s="13"/>
      <c r="Q22" s="13"/>
      <c r="R22" s="13"/>
      <c r="S22" s="13"/>
      <c r="T22" s="13">
        <f t="shared" si="2"/>
        <v>0</v>
      </c>
      <c r="U22" s="13" t="e">
        <f t="shared" si="3"/>
        <v>#DIV/0!</v>
      </c>
      <c r="V22" s="13"/>
      <c r="W22" s="13"/>
      <c r="X22" s="13"/>
      <c r="Y22" s="13"/>
      <c r="Z22" s="13"/>
      <c r="AA22" s="13"/>
      <c r="AB22" s="13"/>
      <c r="AC22" s="13">
        <f t="shared" si="4"/>
        <v>0</v>
      </c>
      <c r="AD22" s="13" t="e">
        <f t="shared" si="5"/>
        <v>#DIV/0!</v>
      </c>
      <c r="AE22" s="13"/>
      <c r="AF22" s="13"/>
      <c r="AG22" s="13"/>
      <c r="AH22" s="13"/>
      <c r="AI22" s="13"/>
      <c r="AJ22" s="13"/>
      <c r="AK22" s="13"/>
      <c r="AL22" s="13">
        <f t="shared" si="6"/>
        <v>0</v>
      </c>
      <c r="AM22" s="13" t="e">
        <f t="shared" si="7"/>
        <v>#DIV/0!</v>
      </c>
      <c r="AN22" s="13"/>
      <c r="AO22" s="13"/>
      <c r="AP22" s="13"/>
      <c r="AQ22" s="13"/>
      <c r="AR22" s="13"/>
      <c r="AS22" s="13"/>
      <c r="AT22" s="13"/>
      <c r="AU22" s="13">
        <f t="shared" si="8"/>
        <v>0</v>
      </c>
      <c r="AV22" s="13" t="e">
        <f t="shared" si="9"/>
        <v>#DIV/0!</v>
      </c>
      <c r="AW22" s="13"/>
      <c r="AX22" s="13"/>
      <c r="AY22" s="13"/>
      <c r="AZ22" s="13"/>
      <c r="BA22" s="13"/>
      <c r="BB22" s="13"/>
      <c r="BC22" s="13">
        <f t="shared" si="10"/>
        <v>0</v>
      </c>
      <c r="BD22" s="13" t="e">
        <f t="shared" si="11"/>
        <v>#DIV/0!</v>
      </c>
      <c r="BE22" s="13"/>
      <c r="BF22" s="13"/>
      <c r="BG22" s="13"/>
      <c r="BH22" s="13"/>
      <c r="BI22" s="13"/>
      <c r="BJ22" s="13"/>
      <c r="BK22" s="13">
        <f t="shared" si="12"/>
        <v>0</v>
      </c>
      <c r="BL22" s="13" t="e">
        <f t="shared" si="13"/>
        <v>#DIV/0!</v>
      </c>
      <c r="BM22" s="13"/>
      <c r="BN22" s="13"/>
      <c r="BO22" s="13"/>
      <c r="BP22" s="13"/>
      <c r="BQ22" s="13"/>
      <c r="BR22" s="13"/>
      <c r="BS22" s="13">
        <f t="shared" si="14"/>
        <v>0</v>
      </c>
      <c r="BT22" s="13" t="e">
        <f t="shared" si="15"/>
        <v>#DIV/0!</v>
      </c>
      <c r="BU22" s="13"/>
      <c r="BV22" s="13"/>
      <c r="BW22" s="13"/>
      <c r="BX22" s="13"/>
      <c r="BY22" s="13"/>
      <c r="BZ22" s="13"/>
      <c r="CA22" s="13">
        <f t="shared" si="16"/>
        <v>0</v>
      </c>
      <c r="CB22" s="13" t="e">
        <f t="shared" si="17"/>
        <v>#DIV/0!</v>
      </c>
      <c r="CC22" s="13"/>
      <c r="CD22" s="13"/>
      <c r="CE22" s="13"/>
      <c r="CF22" s="171"/>
      <c r="CG22" s="13"/>
      <c r="CH22" s="171"/>
      <c r="CI22" s="13">
        <f t="shared" si="18"/>
        <v>0</v>
      </c>
      <c r="CJ22" s="13" t="e">
        <f t="shared" si="19"/>
        <v>#DIV/0!</v>
      </c>
      <c r="CK22" s="13"/>
      <c r="CL22" s="13"/>
      <c r="CM22" s="13"/>
      <c r="CN22" s="13"/>
      <c r="CO22" s="13"/>
      <c r="CP22" s="13"/>
      <c r="CQ22" s="13">
        <f t="shared" si="20"/>
        <v>0</v>
      </c>
      <c r="CR22" s="13" t="e">
        <f t="shared" si="21"/>
        <v>#DIV/0!</v>
      </c>
      <c r="CS22" s="13"/>
      <c r="CT22" s="13"/>
      <c r="CU22" s="13"/>
      <c r="CV22" s="13"/>
      <c r="CW22" s="13"/>
      <c r="CX22" s="13"/>
      <c r="CY22" s="13">
        <f t="shared" si="22"/>
        <v>0</v>
      </c>
      <c r="CZ22" s="66" t="e">
        <f t="shared" si="23"/>
        <v>#DIV/0!</v>
      </c>
      <c r="DA22" s="13"/>
      <c r="DB22" s="65"/>
      <c r="DC22" s="13"/>
      <c r="DD22" s="13">
        <f t="shared" si="24"/>
        <v>0</v>
      </c>
      <c r="DE22" s="66" t="e">
        <f t="shared" si="25"/>
        <v>#DIV/0!</v>
      </c>
    </row>
    <row r="23" spans="1:109" ht="15.75" hidden="1">
      <c r="A23" s="98" t="s">
        <v>45</v>
      </c>
      <c r="B23" s="48" t="s">
        <v>46</v>
      </c>
      <c r="C23" s="10" t="s">
        <v>36</v>
      </c>
      <c r="D23" s="17"/>
      <c r="E23" s="17"/>
      <c r="F23" s="17"/>
      <c r="G23" s="17"/>
      <c r="H23" s="17"/>
      <c r="I23" s="17"/>
      <c r="J23" s="17"/>
      <c r="K23" s="17">
        <f t="shared" si="0"/>
        <v>0</v>
      </c>
      <c r="L23" s="17" t="e">
        <f t="shared" si="1"/>
        <v>#DIV/0!</v>
      </c>
      <c r="M23" s="17"/>
      <c r="N23" s="17"/>
      <c r="O23" s="17"/>
      <c r="P23" s="17"/>
      <c r="Q23" s="17"/>
      <c r="R23" s="17"/>
      <c r="S23" s="17"/>
      <c r="T23" s="17">
        <f t="shared" si="2"/>
        <v>0</v>
      </c>
      <c r="U23" s="17" t="e">
        <f t="shared" si="3"/>
        <v>#DIV/0!</v>
      </c>
      <c r="V23" s="17"/>
      <c r="W23" s="17"/>
      <c r="X23" s="17"/>
      <c r="Y23" s="17"/>
      <c r="Z23" s="17"/>
      <c r="AA23" s="17"/>
      <c r="AB23" s="17"/>
      <c r="AC23" s="17">
        <f t="shared" si="4"/>
        <v>0</v>
      </c>
      <c r="AD23" s="17" t="e">
        <f t="shared" si="5"/>
        <v>#DIV/0!</v>
      </c>
      <c r="AE23" s="17"/>
      <c r="AF23" s="17"/>
      <c r="AG23" s="17"/>
      <c r="AH23" s="17"/>
      <c r="AI23" s="17"/>
      <c r="AJ23" s="17"/>
      <c r="AK23" s="17"/>
      <c r="AL23" s="17">
        <f t="shared" si="6"/>
        <v>0</v>
      </c>
      <c r="AM23" s="17" t="e">
        <f t="shared" si="7"/>
        <v>#DIV/0!</v>
      </c>
      <c r="AN23" s="17"/>
      <c r="AO23" s="17"/>
      <c r="AP23" s="17"/>
      <c r="AQ23" s="17"/>
      <c r="AR23" s="17"/>
      <c r="AS23" s="17"/>
      <c r="AT23" s="17"/>
      <c r="AU23" s="17">
        <f t="shared" si="8"/>
        <v>0</v>
      </c>
      <c r="AV23" s="17" t="e">
        <f t="shared" si="9"/>
        <v>#DIV/0!</v>
      </c>
      <c r="AW23" s="17"/>
      <c r="AX23" s="17"/>
      <c r="AY23" s="17"/>
      <c r="AZ23" s="17"/>
      <c r="BA23" s="17"/>
      <c r="BB23" s="17"/>
      <c r="BC23" s="17">
        <f t="shared" si="10"/>
        <v>0</v>
      </c>
      <c r="BD23" s="17" t="e">
        <f t="shared" si="11"/>
        <v>#DIV/0!</v>
      </c>
      <c r="BE23" s="17"/>
      <c r="BF23" s="17"/>
      <c r="BG23" s="17"/>
      <c r="BH23" s="17"/>
      <c r="BI23" s="17"/>
      <c r="BJ23" s="17"/>
      <c r="BK23" s="17">
        <f t="shared" si="12"/>
        <v>0</v>
      </c>
      <c r="BL23" s="17" t="e">
        <f t="shared" si="13"/>
        <v>#DIV/0!</v>
      </c>
      <c r="BM23" s="17"/>
      <c r="BN23" s="17"/>
      <c r="BO23" s="17"/>
      <c r="BP23" s="17"/>
      <c r="BQ23" s="17"/>
      <c r="BR23" s="17"/>
      <c r="BS23" s="17">
        <f t="shared" si="14"/>
        <v>0</v>
      </c>
      <c r="BT23" s="17" t="e">
        <f t="shared" si="15"/>
        <v>#DIV/0!</v>
      </c>
      <c r="BU23" s="17"/>
      <c r="BV23" s="17"/>
      <c r="BW23" s="17"/>
      <c r="BX23" s="17"/>
      <c r="BY23" s="17"/>
      <c r="BZ23" s="17"/>
      <c r="CA23" s="17">
        <f t="shared" si="16"/>
        <v>0</v>
      </c>
      <c r="CB23" s="17" t="e">
        <f t="shared" si="17"/>
        <v>#DIV/0!</v>
      </c>
      <c r="CC23" s="17"/>
      <c r="CD23" s="17"/>
      <c r="CE23" s="17"/>
      <c r="CF23" s="141"/>
      <c r="CG23" s="17"/>
      <c r="CH23" s="141"/>
      <c r="CI23" s="17">
        <f t="shared" si="18"/>
        <v>0</v>
      </c>
      <c r="CJ23" s="17" t="e">
        <f t="shared" si="19"/>
        <v>#DIV/0!</v>
      </c>
      <c r="CK23" s="17"/>
      <c r="CL23" s="17"/>
      <c r="CM23" s="17"/>
      <c r="CN23" s="17"/>
      <c r="CO23" s="17"/>
      <c r="CP23" s="17"/>
      <c r="CQ23" s="17">
        <f t="shared" si="20"/>
        <v>0</v>
      </c>
      <c r="CR23" s="17" t="e">
        <f t="shared" si="21"/>
        <v>#DIV/0!</v>
      </c>
      <c r="CS23" s="17"/>
      <c r="CT23" s="17"/>
      <c r="CU23" s="17"/>
      <c r="CV23" s="17"/>
      <c r="CW23" s="17"/>
      <c r="CX23" s="17"/>
      <c r="CY23" s="17">
        <f t="shared" si="22"/>
        <v>0</v>
      </c>
      <c r="CZ23" s="74" t="e">
        <f t="shared" si="23"/>
        <v>#DIV/0!</v>
      </c>
      <c r="DA23" s="17"/>
      <c r="DB23" s="73"/>
      <c r="DC23" s="17"/>
      <c r="DD23" s="17">
        <f t="shared" si="24"/>
        <v>0</v>
      </c>
      <c r="DE23" s="74" t="e">
        <f t="shared" si="25"/>
        <v>#DIV/0!</v>
      </c>
    </row>
    <row r="24" spans="1:109" ht="31.5" hidden="1">
      <c r="A24" s="98" t="s">
        <v>47</v>
      </c>
      <c r="B24" s="18" t="s">
        <v>48</v>
      </c>
      <c r="C24" s="10" t="s">
        <v>36</v>
      </c>
      <c r="D24" s="17"/>
      <c r="E24" s="17"/>
      <c r="F24" s="17"/>
      <c r="G24" s="17"/>
      <c r="H24" s="17"/>
      <c r="I24" s="17"/>
      <c r="J24" s="17"/>
      <c r="K24" s="17">
        <f t="shared" si="0"/>
        <v>0</v>
      </c>
      <c r="L24" s="17" t="e">
        <f t="shared" si="1"/>
        <v>#DIV/0!</v>
      </c>
      <c r="M24" s="17"/>
      <c r="N24" s="17"/>
      <c r="O24" s="17"/>
      <c r="P24" s="17"/>
      <c r="Q24" s="17"/>
      <c r="R24" s="17"/>
      <c r="S24" s="17"/>
      <c r="T24" s="17">
        <f t="shared" si="2"/>
        <v>0</v>
      </c>
      <c r="U24" s="17" t="e">
        <f t="shared" si="3"/>
        <v>#DIV/0!</v>
      </c>
      <c r="V24" s="17"/>
      <c r="W24" s="17"/>
      <c r="X24" s="17"/>
      <c r="Y24" s="17"/>
      <c r="Z24" s="17"/>
      <c r="AA24" s="17"/>
      <c r="AB24" s="17"/>
      <c r="AC24" s="17">
        <f t="shared" si="4"/>
        <v>0</v>
      </c>
      <c r="AD24" s="17" t="e">
        <f t="shared" si="5"/>
        <v>#DIV/0!</v>
      </c>
      <c r="AE24" s="17"/>
      <c r="AF24" s="17"/>
      <c r="AG24" s="17"/>
      <c r="AH24" s="17"/>
      <c r="AI24" s="17"/>
      <c r="AJ24" s="17"/>
      <c r="AK24" s="17"/>
      <c r="AL24" s="17">
        <f t="shared" si="6"/>
        <v>0</v>
      </c>
      <c r="AM24" s="17" t="e">
        <f t="shared" si="7"/>
        <v>#DIV/0!</v>
      </c>
      <c r="AN24" s="17"/>
      <c r="AO24" s="17"/>
      <c r="AP24" s="17"/>
      <c r="AQ24" s="17"/>
      <c r="AR24" s="17"/>
      <c r="AS24" s="17"/>
      <c r="AT24" s="17"/>
      <c r="AU24" s="17">
        <f t="shared" si="8"/>
        <v>0</v>
      </c>
      <c r="AV24" s="17" t="e">
        <f t="shared" si="9"/>
        <v>#DIV/0!</v>
      </c>
      <c r="AW24" s="17"/>
      <c r="AX24" s="17"/>
      <c r="AY24" s="17"/>
      <c r="AZ24" s="17"/>
      <c r="BA24" s="17"/>
      <c r="BB24" s="17"/>
      <c r="BC24" s="17">
        <f t="shared" si="10"/>
        <v>0</v>
      </c>
      <c r="BD24" s="17" t="e">
        <f t="shared" si="11"/>
        <v>#DIV/0!</v>
      </c>
      <c r="BE24" s="17"/>
      <c r="BF24" s="17"/>
      <c r="BG24" s="17"/>
      <c r="BH24" s="17"/>
      <c r="BI24" s="17"/>
      <c r="BJ24" s="17"/>
      <c r="BK24" s="17">
        <f t="shared" si="12"/>
        <v>0</v>
      </c>
      <c r="BL24" s="17" t="e">
        <f t="shared" si="13"/>
        <v>#DIV/0!</v>
      </c>
      <c r="BM24" s="17"/>
      <c r="BN24" s="17"/>
      <c r="BO24" s="17"/>
      <c r="BP24" s="17"/>
      <c r="BQ24" s="17"/>
      <c r="BR24" s="17"/>
      <c r="BS24" s="17">
        <f t="shared" si="14"/>
        <v>0</v>
      </c>
      <c r="BT24" s="17" t="e">
        <f t="shared" si="15"/>
        <v>#DIV/0!</v>
      </c>
      <c r="BU24" s="17"/>
      <c r="BV24" s="17"/>
      <c r="BW24" s="17"/>
      <c r="BX24" s="17"/>
      <c r="BY24" s="17"/>
      <c r="BZ24" s="17"/>
      <c r="CA24" s="17">
        <f t="shared" si="16"/>
        <v>0</v>
      </c>
      <c r="CB24" s="17" t="e">
        <f t="shared" si="17"/>
        <v>#DIV/0!</v>
      </c>
      <c r="CC24" s="17"/>
      <c r="CD24" s="17"/>
      <c r="CE24" s="17"/>
      <c r="CF24" s="141"/>
      <c r="CG24" s="17"/>
      <c r="CH24" s="141"/>
      <c r="CI24" s="17">
        <f t="shared" si="18"/>
        <v>0</v>
      </c>
      <c r="CJ24" s="17" t="e">
        <f t="shared" si="19"/>
        <v>#DIV/0!</v>
      </c>
      <c r="CK24" s="17"/>
      <c r="CL24" s="17"/>
      <c r="CM24" s="17"/>
      <c r="CN24" s="17"/>
      <c r="CO24" s="17"/>
      <c r="CP24" s="17"/>
      <c r="CQ24" s="17">
        <f t="shared" si="20"/>
        <v>0</v>
      </c>
      <c r="CR24" s="17" t="e">
        <f t="shared" si="21"/>
        <v>#DIV/0!</v>
      </c>
      <c r="CS24" s="17"/>
      <c r="CT24" s="17"/>
      <c r="CU24" s="17"/>
      <c r="CV24" s="17"/>
      <c r="CW24" s="17"/>
      <c r="CX24" s="17"/>
      <c r="CY24" s="17">
        <f t="shared" si="22"/>
        <v>0</v>
      </c>
      <c r="CZ24" s="74" t="e">
        <f t="shared" si="23"/>
        <v>#DIV/0!</v>
      </c>
      <c r="DA24" s="17"/>
      <c r="DB24" s="73"/>
      <c r="DC24" s="17"/>
      <c r="DD24" s="17">
        <f t="shared" si="24"/>
        <v>0</v>
      </c>
      <c r="DE24" s="74" t="e">
        <f t="shared" si="25"/>
        <v>#DIV/0!</v>
      </c>
    </row>
    <row r="25" spans="1:109" ht="47.25" hidden="1">
      <c r="A25" s="99">
        <v>10</v>
      </c>
      <c r="B25" s="19" t="s">
        <v>49</v>
      </c>
      <c r="C25" s="10" t="s">
        <v>36</v>
      </c>
      <c r="D25" s="17"/>
      <c r="E25" s="17"/>
      <c r="F25" s="17"/>
      <c r="G25" s="17"/>
      <c r="H25" s="17"/>
      <c r="I25" s="17"/>
      <c r="J25" s="17"/>
      <c r="K25" s="17">
        <f t="shared" si="0"/>
        <v>0</v>
      </c>
      <c r="L25" s="17" t="e">
        <f t="shared" si="1"/>
        <v>#DIV/0!</v>
      </c>
      <c r="M25" s="17"/>
      <c r="N25" s="17"/>
      <c r="O25" s="17"/>
      <c r="P25" s="17"/>
      <c r="Q25" s="17"/>
      <c r="R25" s="17"/>
      <c r="S25" s="17"/>
      <c r="T25" s="17">
        <f t="shared" si="2"/>
        <v>0</v>
      </c>
      <c r="U25" s="17" t="e">
        <f t="shared" si="3"/>
        <v>#DIV/0!</v>
      </c>
      <c r="V25" s="17"/>
      <c r="W25" s="17"/>
      <c r="X25" s="17"/>
      <c r="Y25" s="17"/>
      <c r="Z25" s="17"/>
      <c r="AA25" s="17"/>
      <c r="AB25" s="17"/>
      <c r="AC25" s="17">
        <f t="shared" si="4"/>
        <v>0</v>
      </c>
      <c r="AD25" s="17" t="e">
        <f t="shared" si="5"/>
        <v>#DIV/0!</v>
      </c>
      <c r="AE25" s="17"/>
      <c r="AF25" s="17"/>
      <c r="AG25" s="17"/>
      <c r="AH25" s="17"/>
      <c r="AI25" s="17"/>
      <c r="AJ25" s="17"/>
      <c r="AK25" s="17"/>
      <c r="AL25" s="17">
        <f t="shared" si="6"/>
        <v>0</v>
      </c>
      <c r="AM25" s="17" t="e">
        <f t="shared" si="7"/>
        <v>#DIV/0!</v>
      </c>
      <c r="AN25" s="17"/>
      <c r="AO25" s="17"/>
      <c r="AP25" s="17"/>
      <c r="AQ25" s="17"/>
      <c r="AR25" s="17"/>
      <c r="AS25" s="17"/>
      <c r="AT25" s="17"/>
      <c r="AU25" s="17">
        <f t="shared" si="8"/>
        <v>0</v>
      </c>
      <c r="AV25" s="17" t="e">
        <f t="shared" si="9"/>
        <v>#DIV/0!</v>
      </c>
      <c r="AW25" s="17"/>
      <c r="AX25" s="17"/>
      <c r="AY25" s="17"/>
      <c r="AZ25" s="17"/>
      <c r="BA25" s="17"/>
      <c r="BB25" s="17"/>
      <c r="BC25" s="17">
        <f t="shared" si="10"/>
        <v>0</v>
      </c>
      <c r="BD25" s="17" t="e">
        <f t="shared" si="11"/>
        <v>#DIV/0!</v>
      </c>
      <c r="BE25" s="17"/>
      <c r="BF25" s="17"/>
      <c r="BG25" s="17"/>
      <c r="BH25" s="17"/>
      <c r="BI25" s="17"/>
      <c r="BJ25" s="17"/>
      <c r="BK25" s="17">
        <f t="shared" si="12"/>
        <v>0</v>
      </c>
      <c r="BL25" s="17" t="e">
        <f t="shared" si="13"/>
        <v>#DIV/0!</v>
      </c>
      <c r="BM25" s="17"/>
      <c r="BN25" s="17"/>
      <c r="BO25" s="17"/>
      <c r="BP25" s="17"/>
      <c r="BQ25" s="17"/>
      <c r="BR25" s="17"/>
      <c r="BS25" s="17">
        <f t="shared" si="14"/>
        <v>0</v>
      </c>
      <c r="BT25" s="17" t="e">
        <f t="shared" si="15"/>
        <v>#DIV/0!</v>
      </c>
      <c r="BU25" s="17"/>
      <c r="BV25" s="17"/>
      <c r="BW25" s="17"/>
      <c r="BX25" s="17"/>
      <c r="BY25" s="17"/>
      <c r="BZ25" s="17"/>
      <c r="CA25" s="17">
        <f t="shared" si="16"/>
        <v>0</v>
      </c>
      <c r="CB25" s="17" t="e">
        <f t="shared" si="17"/>
        <v>#DIV/0!</v>
      </c>
      <c r="CC25" s="17"/>
      <c r="CD25" s="17"/>
      <c r="CE25" s="17"/>
      <c r="CF25" s="141"/>
      <c r="CG25" s="17"/>
      <c r="CH25" s="141"/>
      <c r="CI25" s="17">
        <f t="shared" si="18"/>
        <v>0</v>
      </c>
      <c r="CJ25" s="17" t="e">
        <f t="shared" si="19"/>
        <v>#DIV/0!</v>
      </c>
      <c r="CK25" s="17"/>
      <c r="CL25" s="17"/>
      <c r="CM25" s="17"/>
      <c r="CN25" s="17"/>
      <c r="CO25" s="17"/>
      <c r="CP25" s="17"/>
      <c r="CQ25" s="17">
        <f t="shared" si="20"/>
        <v>0</v>
      </c>
      <c r="CR25" s="17" t="e">
        <f t="shared" si="21"/>
        <v>#DIV/0!</v>
      </c>
      <c r="CS25" s="17"/>
      <c r="CT25" s="17"/>
      <c r="CU25" s="17"/>
      <c r="CV25" s="17"/>
      <c r="CW25" s="17"/>
      <c r="CX25" s="17"/>
      <c r="CY25" s="17">
        <f t="shared" si="22"/>
        <v>0</v>
      </c>
      <c r="CZ25" s="74" t="e">
        <f t="shared" si="23"/>
        <v>#DIV/0!</v>
      </c>
      <c r="DA25" s="17"/>
      <c r="DB25" s="73"/>
      <c r="DC25" s="17"/>
      <c r="DD25" s="17">
        <f t="shared" si="24"/>
        <v>0</v>
      </c>
      <c r="DE25" s="74" t="e">
        <f t="shared" si="25"/>
        <v>#DIV/0!</v>
      </c>
    </row>
    <row r="26" spans="1:109" ht="15.75" hidden="1">
      <c r="A26" s="98" t="s">
        <v>50</v>
      </c>
      <c r="B26" s="20" t="s">
        <v>51</v>
      </c>
      <c r="C26" s="10" t="s">
        <v>36</v>
      </c>
      <c r="D26" s="17"/>
      <c r="E26" s="17"/>
      <c r="F26" s="17"/>
      <c r="G26" s="17"/>
      <c r="H26" s="17"/>
      <c r="I26" s="17"/>
      <c r="J26" s="17"/>
      <c r="K26" s="17">
        <f t="shared" si="0"/>
        <v>0</v>
      </c>
      <c r="L26" s="17" t="e">
        <f t="shared" si="1"/>
        <v>#DIV/0!</v>
      </c>
      <c r="M26" s="17"/>
      <c r="N26" s="17"/>
      <c r="O26" s="17"/>
      <c r="P26" s="17"/>
      <c r="Q26" s="17"/>
      <c r="R26" s="17"/>
      <c r="S26" s="17"/>
      <c r="T26" s="17">
        <f t="shared" si="2"/>
        <v>0</v>
      </c>
      <c r="U26" s="17" t="e">
        <f t="shared" si="3"/>
        <v>#DIV/0!</v>
      </c>
      <c r="V26" s="17"/>
      <c r="W26" s="17"/>
      <c r="X26" s="17"/>
      <c r="Y26" s="17"/>
      <c r="Z26" s="17"/>
      <c r="AA26" s="17"/>
      <c r="AB26" s="17"/>
      <c r="AC26" s="17">
        <f t="shared" si="4"/>
        <v>0</v>
      </c>
      <c r="AD26" s="17" t="e">
        <f t="shared" si="5"/>
        <v>#DIV/0!</v>
      </c>
      <c r="AE26" s="17"/>
      <c r="AF26" s="17"/>
      <c r="AG26" s="17"/>
      <c r="AH26" s="17"/>
      <c r="AI26" s="17"/>
      <c r="AJ26" s="17"/>
      <c r="AK26" s="17"/>
      <c r="AL26" s="17">
        <f t="shared" si="6"/>
        <v>0</v>
      </c>
      <c r="AM26" s="17" t="e">
        <f t="shared" si="7"/>
        <v>#DIV/0!</v>
      </c>
      <c r="AN26" s="17"/>
      <c r="AO26" s="17"/>
      <c r="AP26" s="17"/>
      <c r="AQ26" s="17"/>
      <c r="AR26" s="17"/>
      <c r="AS26" s="17"/>
      <c r="AT26" s="17"/>
      <c r="AU26" s="17">
        <f t="shared" si="8"/>
        <v>0</v>
      </c>
      <c r="AV26" s="17" t="e">
        <f t="shared" si="9"/>
        <v>#DIV/0!</v>
      </c>
      <c r="AW26" s="17"/>
      <c r="AX26" s="17"/>
      <c r="AY26" s="17"/>
      <c r="AZ26" s="17"/>
      <c r="BA26" s="17"/>
      <c r="BB26" s="17"/>
      <c r="BC26" s="17">
        <f t="shared" si="10"/>
        <v>0</v>
      </c>
      <c r="BD26" s="17" t="e">
        <f t="shared" si="11"/>
        <v>#DIV/0!</v>
      </c>
      <c r="BE26" s="17"/>
      <c r="BF26" s="17"/>
      <c r="BG26" s="17"/>
      <c r="BH26" s="17"/>
      <c r="BI26" s="17"/>
      <c r="BJ26" s="17"/>
      <c r="BK26" s="17">
        <f t="shared" si="12"/>
        <v>0</v>
      </c>
      <c r="BL26" s="17" t="e">
        <f t="shared" si="13"/>
        <v>#DIV/0!</v>
      </c>
      <c r="BM26" s="17"/>
      <c r="BN26" s="17"/>
      <c r="BO26" s="17"/>
      <c r="BP26" s="17"/>
      <c r="BQ26" s="17"/>
      <c r="BR26" s="17"/>
      <c r="BS26" s="17">
        <f t="shared" si="14"/>
        <v>0</v>
      </c>
      <c r="BT26" s="17" t="e">
        <f t="shared" si="15"/>
        <v>#DIV/0!</v>
      </c>
      <c r="BU26" s="17"/>
      <c r="BV26" s="17"/>
      <c r="BW26" s="17"/>
      <c r="BX26" s="17"/>
      <c r="BY26" s="17"/>
      <c r="BZ26" s="17"/>
      <c r="CA26" s="17">
        <f t="shared" si="16"/>
        <v>0</v>
      </c>
      <c r="CB26" s="17" t="e">
        <f t="shared" si="17"/>
        <v>#DIV/0!</v>
      </c>
      <c r="CC26" s="17"/>
      <c r="CD26" s="17"/>
      <c r="CE26" s="17"/>
      <c r="CF26" s="141"/>
      <c r="CG26" s="17"/>
      <c r="CH26" s="141"/>
      <c r="CI26" s="17">
        <f t="shared" si="18"/>
        <v>0</v>
      </c>
      <c r="CJ26" s="17" t="e">
        <f t="shared" si="19"/>
        <v>#DIV/0!</v>
      </c>
      <c r="CK26" s="17"/>
      <c r="CL26" s="17"/>
      <c r="CM26" s="17"/>
      <c r="CN26" s="17"/>
      <c r="CO26" s="17"/>
      <c r="CP26" s="17"/>
      <c r="CQ26" s="17">
        <f t="shared" si="20"/>
        <v>0</v>
      </c>
      <c r="CR26" s="17" t="e">
        <f t="shared" si="21"/>
        <v>#DIV/0!</v>
      </c>
      <c r="CS26" s="17"/>
      <c r="CT26" s="17"/>
      <c r="CU26" s="17"/>
      <c r="CV26" s="17"/>
      <c r="CW26" s="17"/>
      <c r="CX26" s="17"/>
      <c r="CY26" s="17">
        <f t="shared" si="22"/>
        <v>0</v>
      </c>
      <c r="CZ26" s="74" t="e">
        <f t="shared" si="23"/>
        <v>#DIV/0!</v>
      </c>
      <c r="DA26" s="17"/>
      <c r="DB26" s="73"/>
      <c r="DC26" s="17"/>
      <c r="DD26" s="17">
        <f t="shared" si="24"/>
        <v>0</v>
      </c>
      <c r="DE26" s="74" t="e">
        <f t="shared" si="25"/>
        <v>#DIV/0!</v>
      </c>
    </row>
    <row r="27" spans="1:109" ht="47.25" hidden="1">
      <c r="A27" s="99">
        <v>11</v>
      </c>
      <c r="B27" s="19" t="s">
        <v>52</v>
      </c>
      <c r="C27" s="10" t="s">
        <v>36</v>
      </c>
      <c r="D27" s="21"/>
      <c r="E27" s="21"/>
      <c r="F27" s="21"/>
      <c r="G27" s="21"/>
      <c r="H27" s="21"/>
      <c r="I27" s="21"/>
      <c r="J27" s="21"/>
      <c r="K27" s="21">
        <f t="shared" si="0"/>
        <v>0</v>
      </c>
      <c r="L27" s="21" t="e">
        <f t="shared" si="1"/>
        <v>#DIV/0!</v>
      </c>
      <c r="M27" s="21"/>
      <c r="N27" s="21"/>
      <c r="O27" s="21"/>
      <c r="P27" s="21"/>
      <c r="Q27" s="21"/>
      <c r="R27" s="21"/>
      <c r="S27" s="21"/>
      <c r="T27" s="21">
        <f t="shared" si="2"/>
        <v>0</v>
      </c>
      <c r="U27" s="21" t="e">
        <f t="shared" si="3"/>
        <v>#DIV/0!</v>
      </c>
      <c r="V27" s="21"/>
      <c r="W27" s="21"/>
      <c r="X27" s="21"/>
      <c r="Y27" s="21"/>
      <c r="Z27" s="21"/>
      <c r="AA27" s="21"/>
      <c r="AB27" s="21"/>
      <c r="AC27" s="21">
        <f t="shared" si="4"/>
        <v>0</v>
      </c>
      <c r="AD27" s="21" t="e">
        <f t="shared" si="5"/>
        <v>#DIV/0!</v>
      </c>
      <c r="AE27" s="21"/>
      <c r="AF27" s="21"/>
      <c r="AG27" s="21"/>
      <c r="AH27" s="21"/>
      <c r="AI27" s="21"/>
      <c r="AJ27" s="21"/>
      <c r="AK27" s="21"/>
      <c r="AL27" s="21">
        <f t="shared" si="6"/>
        <v>0</v>
      </c>
      <c r="AM27" s="21" t="e">
        <f t="shared" si="7"/>
        <v>#DIV/0!</v>
      </c>
      <c r="AN27" s="21"/>
      <c r="AO27" s="21"/>
      <c r="AP27" s="21"/>
      <c r="AQ27" s="21"/>
      <c r="AR27" s="21"/>
      <c r="AS27" s="21"/>
      <c r="AT27" s="21"/>
      <c r="AU27" s="21">
        <f t="shared" si="8"/>
        <v>0</v>
      </c>
      <c r="AV27" s="21" t="e">
        <f t="shared" si="9"/>
        <v>#DIV/0!</v>
      </c>
      <c r="AW27" s="21"/>
      <c r="AX27" s="21"/>
      <c r="AY27" s="21"/>
      <c r="AZ27" s="21"/>
      <c r="BA27" s="21"/>
      <c r="BB27" s="21"/>
      <c r="BC27" s="21">
        <f t="shared" si="10"/>
        <v>0</v>
      </c>
      <c r="BD27" s="21" t="e">
        <f t="shared" si="11"/>
        <v>#DIV/0!</v>
      </c>
      <c r="BE27" s="21"/>
      <c r="BF27" s="21"/>
      <c r="BG27" s="21"/>
      <c r="BH27" s="21"/>
      <c r="BI27" s="21"/>
      <c r="BJ27" s="21"/>
      <c r="BK27" s="21">
        <f t="shared" si="12"/>
        <v>0</v>
      </c>
      <c r="BL27" s="21" t="e">
        <f t="shared" si="13"/>
        <v>#DIV/0!</v>
      </c>
      <c r="BM27" s="21"/>
      <c r="BN27" s="21"/>
      <c r="BO27" s="21"/>
      <c r="BP27" s="21"/>
      <c r="BQ27" s="21"/>
      <c r="BR27" s="21"/>
      <c r="BS27" s="21">
        <f t="shared" si="14"/>
        <v>0</v>
      </c>
      <c r="BT27" s="21" t="e">
        <f t="shared" si="15"/>
        <v>#DIV/0!</v>
      </c>
      <c r="BU27" s="21"/>
      <c r="BV27" s="21"/>
      <c r="BW27" s="21"/>
      <c r="BX27" s="21"/>
      <c r="BY27" s="21"/>
      <c r="BZ27" s="21"/>
      <c r="CA27" s="21">
        <f t="shared" si="16"/>
        <v>0</v>
      </c>
      <c r="CB27" s="21" t="e">
        <f t="shared" si="17"/>
        <v>#DIV/0!</v>
      </c>
      <c r="CC27" s="21"/>
      <c r="CD27" s="21"/>
      <c r="CE27" s="21"/>
      <c r="CF27" s="141"/>
      <c r="CG27" s="21"/>
      <c r="CH27" s="141"/>
      <c r="CI27" s="21">
        <f t="shared" si="18"/>
        <v>0</v>
      </c>
      <c r="CJ27" s="21" t="e">
        <f t="shared" si="19"/>
        <v>#DIV/0!</v>
      </c>
      <c r="CK27" s="21"/>
      <c r="CL27" s="21"/>
      <c r="CM27" s="21"/>
      <c r="CN27" s="21"/>
      <c r="CO27" s="21"/>
      <c r="CP27" s="21"/>
      <c r="CQ27" s="21">
        <f t="shared" si="20"/>
        <v>0</v>
      </c>
      <c r="CR27" s="21" t="e">
        <f t="shared" si="21"/>
        <v>#DIV/0!</v>
      </c>
      <c r="CS27" s="21"/>
      <c r="CT27" s="21"/>
      <c r="CU27" s="21"/>
      <c r="CV27" s="21"/>
      <c r="CW27" s="21"/>
      <c r="CX27" s="21"/>
      <c r="CY27" s="21">
        <f t="shared" si="22"/>
        <v>0</v>
      </c>
      <c r="CZ27" s="76" t="e">
        <f t="shared" si="23"/>
        <v>#DIV/0!</v>
      </c>
      <c r="DA27" s="21"/>
      <c r="DB27" s="75"/>
      <c r="DC27" s="21"/>
      <c r="DD27" s="21">
        <f t="shared" si="24"/>
        <v>0</v>
      </c>
      <c r="DE27" s="76" t="e">
        <f t="shared" si="25"/>
        <v>#DIV/0!</v>
      </c>
    </row>
    <row r="28" spans="1:109" ht="15.75" hidden="1">
      <c r="A28" s="98" t="s">
        <v>53</v>
      </c>
      <c r="B28" s="20" t="s">
        <v>54</v>
      </c>
      <c r="C28" s="10" t="s">
        <v>36</v>
      </c>
      <c r="D28" s="21"/>
      <c r="E28" s="21"/>
      <c r="F28" s="21"/>
      <c r="G28" s="21"/>
      <c r="H28" s="21"/>
      <c r="I28" s="21"/>
      <c r="J28" s="21"/>
      <c r="K28" s="21">
        <f t="shared" si="0"/>
        <v>0</v>
      </c>
      <c r="L28" s="21" t="e">
        <f t="shared" si="1"/>
        <v>#DIV/0!</v>
      </c>
      <c r="M28" s="21"/>
      <c r="N28" s="21"/>
      <c r="O28" s="21"/>
      <c r="P28" s="21"/>
      <c r="Q28" s="21"/>
      <c r="R28" s="21"/>
      <c r="S28" s="21"/>
      <c r="T28" s="21">
        <f t="shared" si="2"/>
        <v>0</v>
      </c>
      <c r="U28" s="21" t="e">
        <f t="shared" si="3"/>
        <v>#DIV/0!</v>
      </c>
      <c r="V28" s="21"/>
      <c r="W28" s="21"/>
      <c r="X28" s="21"/>
      <c r="Y28" s="21"/>
      <c r="Z28" s="21"/>
      <c r="AA28" s="21"/>
      <c r="AB28" s="21"/>
      <c r="AC28" s="21">
        <f t="shared" si="4"/>
        <v>0</v>
      </c>
      <c r="AD28" s="21" t="e">
        <f t="shared" si="5"/>
        <v>#DIV/0!</v>
      </c>
      <c r="AE28" s="21"/>
      <c r="AF28" s="21"/>
      <c r="AG28" s="21"/>
      <c r="AH28" s="21"/>
      <c r="AI28" s="21"/>
      <c r="AJ28" s="21"/>
      <c r="AK28" s="21"/>
      <c r="AL28" s="21">
        <f t="shared" si="6"/>
        <v>0</v>
      </c>
      <c r="AM28" s="21" t="e">
        <f t="shared" si="7"/>
        <v>#DIV/0!</v>
      </c>
      <c r="AN28" s="21"/>
      <c r="AO28" s="21"/>
      <c r="AP28" s="21"/>
      <c r="AQ28" s="21"/>
      <c r="AR28" s="21"/>
      <c r="AS28" s="21"/>
      <c r="AT28" s="21"/>
      <c r="AU28" s="21">
        <f t="shared" si="8"/>
        <v>0</v>
      </c>
      <c r="AV28" s="21" t="e">
        <f t="shared" si="9"/>
        <v>#DIV/0!</v>
      </c>
      <c r="AW28" s="21"/>
      <c r="AX28" s="21"/>
      <c r="AY28" s="21"/>
      <c r="AZ28" s="21"/>
      <c r="BA28" s="21"/>
      <c r="BB28" s="21"/>
      <c r="BC28" s="21">
        <f t="shared" si="10"/>
        <v>0</v>
      </c>
      <c r="BD28" s="21" t="e">
        <f t="shared" si="11"/>
        <v>#DIV/0!</v>
      </c>
      <c r="BE28" s="21"/>
      <c r="BF28" s="21"/>
      <c r="BG28" s="21"/>
      <c r="BH28" s="21"/>
      <c r="BI28" s="21"/>
      <c r="BJ28" s="21"/>
      <c r="BK28" s="21">
        <f t="shared" si="12"/>
        <v>0</v>
      </c>
      <c r="BL28" s="21" t="e">
        <f t="shared" si="13"/>
        <v>#DIV/0!</v>
      </c>
      <c r="BM28" s="21"/>
      <c r="BN28" s="21"/>
      <c r="BO28" s="21"/>
      <c r="BP28" s="21"/>
      <c r="BQ28" s="21"/>
      <c r="BR28" s="21"/>
      <c r="BS28" s="21">
        <f t="shared" si="14"/>
        <v>0</v>
      </c>
      <c r="BT28" s="21" t="e">
        <f t="shared" si="15"/>
        <v>#DIV/0!</v>
      </c>
      <c r="BU28" s="21"/>
      <c r="BV28" s="21"/>
      <c r="BW28" s="21"/>
      <c r="BX28" s="21"/>
      <c r="BY28" s="21"/>
      <c r="BZ28" s="21"/>
      <c r="CA28" s="21">
        <f t="shared" si="16"/>
        <v>0</v>
      </c>
      <c r="CB28" s="21" t="e">
        <f t="shared" si="17"/>
        <v>#DIV/0!</v>
      </c>
      <c r="CC28" s="21"/>
      <c r="CD28" s="21"/>
      <c r="CE28" s="21"/>
      <c r="CF28" s="141"/>
      <c r="CG28" s="21"/>
      <c r="CH28" s="141"/>
      <c r="CI28" s="21">
        <f t="shared" si="18"/>
        <v>0</v>
      </c>
      <c r="CJ28" s="21" t="e">
        <f t="shared" si="19"/>
        <v>#DIV/0!</v>
      </c>
      <c r="CK28" s="21"/>
      <c r="CL28" s="21"/>
      <c r="CM28" s="21"/>
      <c r="CN28" s="21"/>
      <c r="CO28" s="21"/>
      <c r="CP28" s="21"/>
      <c r="CQ28" s="21">
        <f t="shared" si="20"/>
        <v>0</v>
      </c>
      <c r="CR28" s="21" t="e">
        <f t="shared" si="21"/>
        <v>#DIV/0!</v>
      </c>
      <c r="CS28" s="21"/>
      <c r="CT28" s="21"/>
      <c r="CU28" s="21"/>
      <c r="CV28" s="21"/>
      <c r="CW28" s="21"/>
      <c r="CX28" s="21"/>
      <c r="CY28" s="21">
        <f t="shared" si="22"/>
        <v>0</v>
      </c>
      <c r="CZ28" s="76" t="e">
        <f t="shared" si="23"/>
        <v>#DIV/0!</v>
      </c>
      <c r="DA28" s="21"/>
      <c r="DB28" s="75"/>
      <c r="DC28" s="21"/>
      <c r="DD28" s="21">
        <f t="shared" si="24"/>
        <v>0</v>
      </c>
      <c r="DE28" s="76" t="e">
        <f t="shared" si="25"/>
        <v>#DIV/0!</v>
      </c>
    </row>
    <row r="29" spans="1:109" ht="15" customHeight="1" hidden="1">
      <c r="A29" s="99">
        <v>12</v>
      </c>
      <c r="B29" s="19" t="s">
        <v>55</v>
      </c>
      <c r="C29" s="22" t="s">
        <v>56</v>
      </c>
      <c r="D29" s="11">
        <f>SUM(D30:D33)</f>
        <v>0</v>
      </c>
      <c r="E29" s="11">
        <f>SUM(E30:E33)</f>
        <v>0</v>
      </c>
      <c r="F29" s="11"/>
      <c r="G29" s="11"/>
      <c r="H29" s="11"/>
      <c r="I29" s="11">
        <f>SUM(I30:I33)</f>
        <v>0</v>
      </c>
      <c r="J29" s="11">
        <f>SUM(J30:J33)</f>
        <v>0</v>
      </c>
      <c r="K29" s="11">
        <f t="shared" si="0"/>
        <v>0</v>
      </c>
      <c r="L29" s="11" t="e">
        <f t="shared" si="1"/>
        <v>#DIV/0!</v>
      </c>
      <c r="M29" s="11">
        <f>SUM(M30:M33)</f>
        <v>0</v>
      </c>
      <c r="N29" s="11">
        <f>SUM(N30:N33)</f>
        <v>0</v>
      </c>
      <c r="O29" s="11"/>
      <c r="P29" s="11"/>
      <c r="Q29" s="11"/>
      <c r="R29" s="11">
        <f>SUM(R30:R33)</f>
        <v>0</v>
      </c>
      <c r="S29" s="11">
        <f>SUM(S30:S33)</f>
        <v>0</v>
      </c>
      <c r="T29" s="11">
        <f t="shared" si="2"/>
        <v>0</v>
      </c>
      <c r="U29" s="11" t="e">
        <f t="shared" si="3"/>
        <v>#DIV/0!</v>
      </c>
      <c r="V29" s="11">
        <f>SUM(V30:V33)</f>
        <v>0</v>
      </c>
      <c r="W29" s="11">
        <f>SUM(W30:W33)</f>
        <v>0</v>
      </c>
      <c r="X29" s="11"/>
      <c r="Y29" s="11"/>
      <c r="Z29" s="11"/>
      <c r="AA29" s="11">
        <f>SUM(AA30:AA33)</f>
        <v>0</v>
      </c>
      <c r="AB29" s="11">
        <f>SUM(AB30:AB33)</f>
        <v>0</v>
      </c>
      <c r="AC29" s="11">
        <f t="shared" si="4"/>
        <v>0</v>
      </c>
      <c r="AD29" s="11" t="e">
        <f t="shared" si="5"/>
        <v>#DIV/0!</v>
      </c>
      <c r="AE29" s="11">
        <f>SUM(AE30:AE33)</f>
        <v>0</v>
      </c>
      <c r="AF29" s="11">
        <f>SUM(AF30:AF33)</f>
        <v>0</v>
      </c>
      <c r="AG29" s="11"/>
      <c r="AH29" s="11"/>
      <c r="AI29" s="11"/>
      <c r="AJ29" s="11">
        <f>SUM(AJ30:AJ33)</f>
        <v>0</v>
      </c>
      <c r="AK29" s="11">
        <f>SUM(AK30:AK33)</f>
        <v>0</v>
      </c>
      <c r="AL29" s="11">
        <f t="shared" si="6"/>
        <v>0</v>
      </c>
      <c r="AM29" s="11" t="e">
        <f t="shared" si="7"/>
        <v>#DIV/0!</v>
      </c>
      <c r="AN29" s="11">
        <f>SUM(AN30:AN33)</f>
        <v>0</v>
      </c>
      <c r="AO29" s="11"/>
      <c r="AP29" s="11"/>
      <c r="AQ29" s="11"/>
      <c r="AR29" s="11">
        <f>SUM(AR30:AR33)</f>
        <v>0</v>
      </c>
      <c r="AS29" s="11">
        <f>SUM(AS30:AS33)</f>
        <v>0</v>
      </c>
      <c r="AT29" s="11">
        <f>SUM(AT30:AT33)</f>
        <v>0</v>
      </c>
      <c r="AU29" s="11">
        <f t="shared" si="8"/>
        <v>0</v>
      </c>
      <c r="AV29" s="11" t="e">
        <f t="shared" si="9"/>
        <v>#DIV/0!</v>
      </c>
      <c r="AW29" s="11">
        <f>SUM(AW30:AW33)</f>
        <v>0</v>
      </c>
      <c r="AX29" s="11"/>
      <c r="AY29" s="11"/>
      <c r="AZ29" s="11">
        <f>SUM(AZ30:AZ33)</f>
        <v>0</v>
      </c>
      <c r="BA29" s="11">
        <f>SUM(BA30:BA33)</f>
        <v>0</v>
      </c>
      <c r="BB29" s="11">
        <f>SUM(BB30:BB33)</f>
        <v>0</v>
      </c>
      <c r="BC29" s="11">
        <f t="shared" si="10"/>
        <v>0</v>
      </c>
      <c r="BD29" s="11" t="e">
        <f t="shared" si="11"/>
        <v>#DIV/0!</v>
      </c>
      <c r="BE29" s="11">
        <f>SUM(BE30:BE33)</f>
        <v>0</v>
      </c>
      <c r="BF29" s="11"/>
      <c r="BG29" s="11"/>
      <c r="BH29" s="11">
        <f>SUM(BH30:BH33)</f>
        <v>0</v>
      </c>
      <c r="BI29" s="11">
        <f>SUM(BI30:BI33)</f>
        <v>0</v>
      </c>
      <c r="BJ29" s="11">
        <f>SUM(BJ30:BJ33)</f>
        <v>0</v>
      </c>
      <c r="BK29" s="11">
        <f t="shared" si="12"/>
        <v>0</v>
      </c>
      <c r="BL29" s="11" t="e">
        <f t="shared" si="13"/>
        <v>#DIV/0!</v>
      </c>
      <c r="BM29" s="11">
        <f>SUM(BM30:BM33)</f>
        <v>0</v>
      </c>
      <c r="BN29" s="11">
        <f>SUM(BN30:BN33)</f>
        <v>0</v>
      </c>
      <c r="BO29" s="11"/>
      <c r="BP29" s="11"/>
      <c r="BQ29" s="11">
        <f>SUM(BQ30:BQ33)</f>
        <v>0</v>
      </c>
      <c r="BR29" s="11">
        <f>SUM(BR30:BR33)</f>
        <v>0</v>
      </c>
      <c r="BS29" s="11">
        <f t="shared" si="14"/>
        <v>0</v>
      </c>
      <c r="BT29" s="11" t="e">
        <f t="shared" si="15"/>
        <v>#DIV/0!</v>
      </c>
      <c r="BU29" s="11">
        <f>SUM(BU30:BU33)</f>
        <v>0</v>
      </c>
      <c r="BV29" s="11"/>
      <c r="BW29" s="11"/>
      <c r="BX29" s="11"/>
      <c r="BY29" s="11">
        <f>SUM(BY30:BY33)</f>
        <v>0</v>
      </c>
      <c r="BZ29" s="11">
        <f>SUM(BZ30:BZ33)</f>
        <v>0</v>
      </c>
      <c r="CA29" s="11">
        <f t="shared" si="16"/>
        <v>0</v>
      </c>
      <c r="CB29" s="11" t="e">
        <f t="shared" si="17"/>
        <v>#DIV/0!</v>
      </c>
      <c r="CC29" s="11"/>
      <c r="CD29" s="11"/>
      <c r="CE29" s="11"/>
      <c r="CF29" s="170">
        <f>SUM(CF30:CF33)</f>
        <v>0</v>
      </c>
      <c r="CG29" s="11">
        <f>SUM(CG30:CG33)</f>
        <v>0</v>
      </c>
      <c r="CH29" s="170">
        <f>SUM(CH30:CH33)</f>
        <v>0</v>
      </c>
      <c r="CI29" s="11">
        <f t="shared" si="18"/>
        <v>0</v>
      </c>
      <c r="CJ29" s="11" t="e">
        <f t="shared" si="19"/>
        <v>#DIV/0!</v>
      </c>
      <c r="CK29" s="11">
        <f>SUM(CK30:CK33)</f>
        <v>0</v>
      </c>
      <c r="CL29" s="11"/>
      <c r="CM29" s="11"/>
      <c r="CN29" s="11">
        <f>SUM(CN30:CN33)</f>
        <v>0</v>
      </c>
      <c r="CO29" s="11">
        <f>SUM(CO30:CO33)</f>
        <v>0</v>
      </c>
      <c r="CP29" s="11">
        <f>SUM(CP30:CP33)</f>
        <v>0</v>
      </c>
      <c r="CQ29" s="11">
        <f t="shared" si="20"/>
        <v>0</v>
      </c>
      <c r="CR29" s="11" t="e">
        <f t="shared" si="21"/>
        <v>#DIV/0!</v>
      </c>
      <c r="CS29" s="11">
        <f>SUM(CS30:CS33)</f>
        <v>0</v>
      </c>
      <c r="CT29" s="11"/>
      <c r="CU29" s="11"/>
      <c r="CV29" s="11"/>
      <c r="CW29" s="11">
        <f>SUM(CW30:CW33)</f>
        <v>0</v>
      </c>
      <c r="CX29" s="11">
        <f>SUM(CX30:CX33)</f>
        <v>0</v>
      </c>
      <c r="CY29" s="11">
        <f t="shared" si="22"/>
        <v>0</v>
      </c>
      <c r="CZ29" s="64" t="e">
        <f t="shared" si="23"/>
        <v>#DIV/0!</v>
      </c>
      <c r="DA29" s="11">
        <f>SUM(DA30:DA33)</f>
        <v>0</v>
      </c>
      <c r="DB29" s="63">
        <f>SUM(DB30:DB33)</f>
        <v>0</v>
      </c>
      <c r="DC29" s="11">
        <f>SUM(DC30:DC33)</f>
        <v>0</v>
      </c>
      <c r="DD29" s="11">
        <f t="shared" si="24"/>
        <v>0</v>
      </c>
      <c r="DE29" s="64" t="e">
        <f t="shared" si="25"/>
        <v>#DIV/0!</v>
      </c>
    </row>
    <row r="30" spans="1:109" ht="15" customHeight="1" hidden="1">
      <c r="A30" s="98" t="s">
        <v>57</v>
      </c>
      <c r="B30" s="12" t="s">
        <v>27</v>
      </c>
      <c r="C30" s="22" t="s">
        <v>56</v>
      </c>
      <c r="D30" s="23"/>
      <c r="E30" s="23"/>
      <c r="F30" s="23"/>
      <c r="G30" s="23"/>
      <c r="H30" s="23"/>
      <c r="I30" s="23"/>
      <c r="J30" s="23"/>
      <c r="K30" s="23">
        <f t="shared" si="0"/>
        <v>0</v>
      </c>
      <c r="L30" s="23" t="e">
        <f t="shared" si="1"/>
        <v>#DIV/0!</v>
      </c>
      <c r="M30" s="23"/>
      <c r="N30" s="23"/>
      <c r="O30" s="23"/>
      <c r="P30" s="23"/>
      <c r="Q30" s="23"/>
      <c r="R30" s="23"/>
      <c r="S30" s="23"/>
      <c r="T30" s="23">
        <f t="shared" si="2"/>
        <v>0</v>
      </c>
      <c r="U30" s="23" t="e">
        <f t="shared" si="3"/>
        <v>#DIV/0!</v>
      </c>
      <c r="V30" s="23"/>
      <c r="W30" s="23"/>
      <c r="X30" s="23"/>
      <c r="Y30" s="23"/>
      <c r="Z30" s="23"/>
      <c r="AA30" s="23"/>
      <c r="AB30" s="23"/>
      <c r="AC30" s="23">
        <f t="shared" si="4"/>
        <v>0</v>
      </c>
      <c r="AD30" s="23" t="e">
        <f t="shared" si="5"/>
        <v>#DIV/0!</v>
      </c>
      <c r="AE30" s="23"/>
      <c r="AF30" s="23"/>
      <c r="AG30" s="23"/>
      <c r="AH30" s="23"/>
      <c r="AI30" s="23"/>
      <c r="AJ30" s="23"/>
      <c r="AK30" s="23"/>
      <c r="AL30" s="23">
        <f t="shared" si="6"/>
        <v>0</v>
      </c>
      <c r="AM30" s="23" t="e">
        <f t="shared" si="7"/>
        <v>#DIV/0!</v>
      </c>
      <c r="AN30" s="23"/>
      <c r="AO30" s="23"/>
      <c r="AP30" s="23"/>
      <c r="AQ30" s="23"/>
      <c r="AR30" s="23"/>
      <c r="AS30" s="23"/>
      <c r="AT30" s="23"/>
      <c r="AU30" s="23">
        <f t="shared" si="8"/>
        <v>0</v>
      </c>
      <c r="AV30" s="23" t="e">
        <f t="shared" si="9"/>
        <v>#DIV/0!</v>
      </c>
      <c r="AW30" s="23"/>
      <c r="AX30" s="23"/>
      <c r="AY30" s="23"/>
      <c r="AZ30" s="23"/>
      <c r="BA30" s="23"/>
      <c r="BB30" s="23"/>
      <c r="BC30" s="23">
        <f t="shared" si="10"/>
        <v>0</v>
      </c>
      <c r="BD30" s="23" t="e">
        <f t="shared" si="11"/>
        <v>#DIV/0!</v>
      </c>
      <c r="BE30" s="23"/>
      <c r="BF30" s="23"/>
      <c r="BG30" s="23"/>
      <c r="BH30" s="23"/>
      <c r="BI30" s="23"/>
      <c r="BJ30" s="23"/>
      <c r="BK30" s="23">
        <f t="shared" si="12"/>
        <v>0</v>
      </c>
      <c r="BL30" s="23" t="e">
        <f t="shared" si="13"/>
        <v>#DIV/0!</v>
      </c>
      <c r="BM30" s="23"/>
      <c r="BN30" s="23"/>
      <c r="BO30" s="23"/>
      <c r="BP30" s="23"/>
      <c r="BQ30" s="23"/>
      <c r="BR30" s="23"/>
      <c r="BS30" s="23">
        <f t="shared" si="14"/>
        <v>0</v>
      </c>
      <c r="BT30" s="23" t="e">
        <f t="shared" si="15"/>
        <v>#DIV/0!</v>
      </c>
      <c r="BU30" s="23"/>
      <c r="BV30" s="23"/>
      <c r="BW30" s="23"/>
      <c r="BX30" s="23"/>
      <c r="BY30" s="23"/>
      <c r="BZ30" s="23"/>
      <c r="CA30" s="23">
        <f t="shared" si="16"/>
        <v>0</v>
      </c>
      <c r="CB30" s="23" t="e">
        <f t="shared" si="17"/>
        <v>#DIV/0!</v>
      </c>
      <c r="CC30" s="23"/>
      <c r="CD30" s="23"/>
      <c r="CE30" s="23"/>
      <c r="CF30" s="175"/>
      <c r="CG30" s="23"/>
      <c r="CH30" s="175"/>
      <c r="CI30" s="23">
        <f t="shared" si="18"/>
        <v>0</v>
      </c>
      <c r="CJ30" s="23" t="e">
        <f t="shared" si="19"/>
        <v>#DIV/0!</v>
      </c>
      <c r="CK30" s="23"/>
      <c r="CL30" s="23"/>
      <c r="CM30" s="23"/>
      <c r="CN30" s="23"/>
      <c r="CO30" s="23"/>
      <c r="CP30" s="23"/>
      <c r="CQ30" s="23">
        <f t="shared" si="20"/>
        <v>0</v>
      </c>
      <c r="CR30" s="23" t="e">
        <f t="shared" si="21"/>
        <v>#DIV/0!</v>
      </c>
      <c r="CS30" s="23"/>
      <c r="CT30" s="23"/>
      <c r="CU30" s="23"/>
      <c r="CV30" s="23"/>
      <c r="CW30" s="23"/>
      <c r="CX30" s="23"/>
      <c r="CY30" s="23">
        <f t="shared" si="22"/>
        <v>0</v>
      </c>
      <c r="CZ30" s="78" t="e">
        <f t="shared" si="23"/>
        <v>#DIV/0!</v>
      </c>
      <c r="DA30" s="23"/>
      <c r="DB30" s="77"/>
      <c r="DC30" s="23"/>
      <c r="DD30" s="23">
        <f t="shared" si="24"/>
        <v>0</v>
      </c>
      <c r="DE30" s="78" t="e">
        <f t="shared" si="25"/>
        <v>#DIV/0!</v>
      </c>
    </row>
    <row r="31" spans="1:109" ht="15" hidden="1">
      <c r="A31" s="98" t="s">
        <v>58</v>
      </c>
      <c r="B31" s="12" t="s">
        <v>29</v>
      </c>
      <c r="C31" s="22" t="s">
        <v>56</v>
      </c>
      <c r="D31" s="23"/>
      <c r="E31" s="23"/>
      <c r="F31" s="23"/>
      <c r="G31" s="23"/>
      <c r="H31" s="23"/>
      <c r="I31" s="23"/>
      <c r="J31" s="23"/>
      <c r="K31" s="23">
        <f t="shared" si="0"/>
        <v>0</v>
      </c>
      <c r="L31" s="23" t="e">
        <f t="shared" si="1"/>
        <v>#DIV/0!</v>
      </c>
      <c r="M31" s="23"/>
      <c r="N31" s="23"/>
      <c r="O31" s="23"/>
      <c r="P31" s="23"/>
      <c r="Q31" s="23"/>
      <c r="R31" s="23"/>
      <c r="S31" s="23"/>
      <c r="T31" s="23">
        <f t="shared" si="2"/>
        <v>0</v>
      </c>
      <c r="U31" s="23" t="e">
        <f t="shared" si="3"/>
        <v>#DIV/0!</v>
      </c>
      <c r="V31" s="23"/>
      <c r="W31" s="23"/>
      <c r="X31" s="23"/>
      <c r="Y31" s="23"/>
      <c r="Z31" s="23"/>
      <c r="AA31" s="23"/>
      <c r="AB31" s="23"/>
      <c r="AC31" s="23">
        <f t="shared" si="4"/>
        <v>0</v>
      </c>
      <c r="AD31" s="23" t="e">
        <f t="shared" si="5"/>
        <v>#DIV/0!</v>
      </c>
      <c r="AE31" s="23"/>
      <c r="AF31" s="23"/>
      <c r="AG31" s="23"/>
      <c r="AH31" s="23"/>
      <c r="AI31" s="23"/>
      <c r="AJ31" s="23"/>
      <c r="AK31" s="23"/>
      <c r="AL31" s="23">
        <f t="shared" si="6"/>
        <v>0</v>
      </c>
      <c r="AM31" s="23" t="e">
        <f t="shared" si="7"/>
        <v>#DIV/0!</v>
      </c>
      <c r="AN31" s="23"/>
      <c r="AO31" s="23"/>
      <c r="AP31" s="23"/>
      <c r="AQ31" s="23"/>
      <c r="AR31" s="23"/>
      <c r="AS31" s="23"/>
      <c r="AT31" s="23"/>
      <c r="AU31" s="23">
        <f t="shared" si="8"/>
        <v>0</v>
      </c>
      <c r="AV31" s="23" t="e">
        <f t="shared" si="9"/>
        <v>#DIV/0!</v>
      </c>
      <c r="AW31" s="23"/>
      <c r="AX31" s="23"/>
      <c r="AY31" s="23"/>
      <c r="AZ31" s="23"/>
      <c r="BA31" s="23"/>
      <c r="BB31" s="23"/>
      <c r="BC31" s="23">
        <f t="shared" si="10"/>
        <v>0</v>
      </c>
      <c r="BD31" s="23" t="e">
        <f t="shared" si="11"/>
        <v>#DIV/0!</v>
      </c>
      <c r="BE31" s="23"/>
      <c r="BF31" s="23"/>
      <c r="BG31" s="23"/>
      <c r="BH31" s="23"/>
      <c r="BI31" s="23"/>
      <c r="BJ31" s="23"/>
      <c r="BK31" s="23">
        <f t="shared" si="12"/>
        <v>0</v>
      </c>
      <c r="BL31" s="23" t="e">
        <f t="shared" si="13"/>
        <v>#DIV/0!</v>
      </c>
      <c r="BM31" s="23"/>
      <c r="BN31" s="23"/>
      <c r="BO31" s="23"/>
      <c r="BP31" s="23"/>
      <c r="BQ31" s="23"/>
      <c r="BR31" s="23"/>
      <c r="BS31" s="23">
        <f t="shared" si="14"/>
        <v>0</v>
      </c>
      <c r="BT31" s="23" t="e">
        <f t="shared" si="15"/>
        <v>#DIV/0!</v>
      </c>
      <c r="BU31" s="23"/>
      <c r="BV31" s="23"/>
      <c r="BW31" s="23"/>
      <c r="BX31" s="23"/>
      <c r="BY31" s="23"/>
      <c r="BZ31" s="23"/>
      <c r="CA31" s="23">
        <f t="shared" si="16"/>
        <v>0</v>
      </c>
      <c r="CB31" s="23" t="e">
        <f t="shared" si="17"/>
        <v>#DIV/0!</v>
      </c>
      <c r="CC31" s="23"/>
      <c r="CD31" s="23"/>
      <c r="CE31" s="23"/>
      <c r="CF31" s="175"/>
      <c r="CG31" s="23"/>
      <c r="CH31" s="175"/>
      <c r="CI31" s="23">
        <f t="shared" si="18"/>
        <v>0</v>
      </c>
      <c r="CJ31" s="23" t="e">
        <f t="shared" si="19"/>
        <v>#DIV/0!</v>
      </c>
      <c r="CK31" s="23"/>
      <c r="CL31" s="23"/>
      <c r="CM31" s="23"/>
      <c r="CN31" s="23"/>
      <c r="CO31" s="23"/>
      <c r="CP31" s="23"/>
      <c r="CQ31" s="23">
        <f t="shared" si="20"/>
        <v>0</v>
      </c>
      <c r="CR31" s="23" t="e">
        <f t="shared" si="21"/>
        <v>#DIV/0!</v>
      </c>
      <c r="CS31" s="23"/>
      <c r="CT31" s="23"/>
      <c r="CU31" s="23"/>
      <c r="CV31" s="23"/>
      <c r="CW31" s="23"/>
      <c r="CX31" s="23"/>
      <c r="CY31" s="23">
        <f t="shared" si="22"/>
        <v>0</v>
      </c>
      <c r="CZ31" s="78" t="e">
        <f t="shared" si="23"/>
        <v>#DIV/0!</v>
      </c>
      <c r="DA31" s="23"/>
      <c r="DB31" s="77"/>
      <c r="DC31" s="23"/>
      <c r="DD31" s="23">
        <f t="shared" si="24"/>
        <v>0</v>
      </c>
      <c r="DE31" s="78" t="e">
        <f t="shared" si="25"/>
        <v>#DIV/0!</v>
      </c>
    </row>
    <row r="32" spans="1:109" ht="15" hidden="1">
      <c r="A32" s="98" t="s">
        <v>59</v>
      </c>
      <c r="B32" s="12" t="s">
        <v>31</v>
      </c>
      <c r="C32" s="22" t="s">
        <v>56</v>
      </c>
      <c r="D32" s="23"/>
      <c r="E32" s="23"/>
      <c r="F32" s="23"/>
      <c r="G32" s="23"/>
      <c r="H32" s="23"/>
      <c r="I32" s="23"/>
      <c r="J32" s="23"/>
      <c r="K32" s="23">
        <f t="shared" si="0"/>
        <v>0</v>
      </c>
      <c r="L32" s="23" t="e">
        <f t="shared" si="1"/>
        <v>#DIV/0!</v>
      </c>
      <c r="M32" s="23"/>
      <c r="N32" s="23"/>
      <c r="O32" s="23"/>
      <c r="P32" s="23"/>
      <c r="Q32" s="23"/>
      <c r="R32" s="23"/>
      <c r="S32" s="23"/>
      <c r="T32" s="23">
        <f t="shared" si="2"/>
        <v>0</v>
      </c>
      <c r="U32" s="23" t="e">
        <f t="shared" si="3"/>
        <v>#DIV/0!</v>
      </c>
      <c r="V32" s="23"/>
      <c r="W32" s="23"/>
      <c r="X32" s="23"/>
      <c r="Y32" s="23"/>
      <c r="Z32" s="23"/>
      <c r="AA32" s="23"/>
      <c r="AB32" s="23"/>
      <c r="AC32" s="23">
        <f t="shared" si="4"/>
        <v>0</v>
      </c>
      <c r="AD32" s="23" t="e">
        <f t="shared" si="5"/>
        <v>#DIV/0!</v>
      </c>
      <c r="AE32" s="23"/>
      <c r="AF32" s="23"/>
      <c r="AG32" s="23"/>
      <c r="AH32" s="23"/>
      <c r="AI32" s="23"/>
      <c r="AJ32" s="23"/>
      <c r="AK32" s="23"/>
      <c r="AL32" s="23">
        <f t="shared" si="6"/>
        <v>0</v>
      </c>
      <c r="AM32" s="23" t="e">
        <f t="shared" si="7"/>
        <v>#DIV/0!</v>
      </c>
      <c r="AN32" s="23"/>
      <c r="AO32" s="23"/>
      <c r="AP32" s="23"/>
      <c r="AQ32" s="23"/>
      <c r="AR32" s="23"/>
      <c r="AS32" s="23"/>
      <c r="AT32" s="23"/>
      <c r="AU32" s="23">
        <f t="shared" si="8"/>
        <v>0</v>
      </c>
      <c r="AV32" s="23" t="e">
        <f t="shared" si="9"/>
        <v>#DIV/0!</v>
      </c>
      <c r="AW32" s="23"/>
      <c r="AX32" s="23"/>
      <c r="AY32" s="23"/>
      <c r="AZ32" s="23"/>
      <c r="BA32" s="23"/>
      <c r="BB32" s="23"/>
      <c r="BC32" s="23">
        <f t="shared" si="10"/>
        <v>0</v>
      </c>
      <c r="BD32" s="23" t="e">
        <f t="shared" si="11"/>
        <v>#DIV/0!</v>
      </c>
      <c r="BE32" s="23"/>
      <c r="BF32" s="23"/>
      <c r="BG32" s="23"/>
      <c r="BH32" s="23"/>
      <c r="BI32" s="23"/>
      <c r="BJ32" s="23"/>
      <c r="BK32" s="23">
        <f t="shared" si="12"/>
        <v>0</v>
      </c>
      <c r="BL32" s="23" t="e">
        <f t="shared" si="13"/>
        <v>#DIV/0!</v>
      </c>
      <c r="BM32" s="23"/>
      <c r="BN32" s="23"/>
      <c r="BO32" s="23"/>
      <c r="BP32" s="23"/>
      <c r="BQ32" s="23"/>
      <c r="BR32" s="23"/>
      <c r="BS32" s="23">
        <f t="shared" si="14"/>
        <v>0</v>
      </c>
      <c r="BT32" s="23" t="e">
        <f t="shared" si="15"/>
        <v>#DIV/0!</v>
      </c>
      <c r="BU32" s="23"/>
      <c r="BV32" s="23"/>
      <c r="BW32" s="23"/>
      <c r="BX32" s="23"/>
      <c r="BY32" s="23"/>
      <c r="BZ32" s="23"/>
      <c r="CA32" s="23">
        <f t="shared" si="16"/>
        <v>0</v>
      </c>
      <c r="CB32" s="23" t="e">
        <f t="shared" si="17"/>
        <v>#DIV/0!</v>
      </c>
      <c r="CC32" s="23"/>
      <c r="CD32" s="23"/>
      <c r="CE32" s="23"/>
      <c r="CF32" s="175"/>
      <c r="CG32" s="23"/>
      <c r="CH32" s="175"/>
      <c r="CI32" s="23">
        <f t="shared" si="18"/>
        <v>0</v>
      </c>
      <c r="CJ32" s="23" t="e">
        <f t="shared" si="19"/>
        <v>#DIV/0!</v>
      </c>
      <c r="CK32" s="23"/>
      <c r="CL32" s="23"/>
      <c r="CM32" s="23"/>
      <c r="CN32" s="23"/>
      <c r="CO32" s="23"/>
      <c r="CP32" s="23"/>
      <c r="CQ32" s="23">
        <f t="shared" si="20"/>
        <v>0</v>
      </c>
      <c r="CR32" s="23" t="e">
        <f t="shared" si="21"/>
        <v>#DIV/0!</v>
      </c>
      <c r="CS32" s="23"/>
      <c r="CT32" s="23"/>
      <c r="CU32" s="23"/>
      <c r="CV32" s="23"/>
      <c r="CW32" s="23"/>
      <c r="CX32" s="23"/>
      <c r="CY32" s="23">
        <f t="shared" si="22"/>
        <v>0</v>
      </c>
      <c r="CZ32" s="78" t="e">
        <f t="shared" si="23"/>
        <v>#DIV/0!</v>
      </c>
      <c r="DA32" s="23"/>
      <c r="DB32" s="77"/>
      <c r="DC32" s="23"/>
      <c r="DD32" s="23">
        <f t="shared" si="24"/>
        <v>0</v>
      </c>
      <c r="DE32" s="78" t="e">
        <f t="shared" si="25"/>
        <v>#DIV/0!</v>
      </c>
    </row>
    <row r="33" spans="1:109" ht="15" hidden="1">
      <c r="A33" s="98" t="s">
        <v>60</v>
      </c>
      <c r="B33" s="12" t="s">
        <v>33</v>
      </c>
      <c r="C33" s="22" t="s">
        <v>56</v>
      </c>
      <c r="D33" s="23"/>
      <c r="E33" s="23"/>
      <c r="F33" s="23"/>
      <c r="G33" s="23"/>
      <c r="H33" s="23"/>
      <c r="I33" s="23"/>
      <c r="J33" s="23"/>
      <c r="K33" s="23">
        <f t="shared" si="0"/>
        <v>0</v>
      </c>
      <c r="L33" s="23" t="e">
        <f t="shared" si="1"/>
        <v>#DIV/0!</v>
      </c>
      <c r="M33" s="23"/>
      <c r="N33" s="23"/>
      <c r="O33" s="23"/>
      <c r="P33" s="23"/>
      <c r="Q33" s="23"/>
      <c r="R33" s="23"/>
      <c r="S33" s="23"/>
      <c r="T33" s="23">
        <f t="shared" si="2"/>
        <v>0</v>
      </c>
      <c r="U33" s="23" t="e">
        <f t="shared" si="3"/>
        <v>#DIV/0!</v>
      </c>
      <c r="V33" s="23"/>
      <c r="W33" s="23"/>
      <c r="X33" s="23"/>
      <c r="Y33" s="23"/>
      <c r="Z33" s="23"/>
      <c r="AA33" s="23"/>
      <c r="AB33" s="23"/>
      <c r="AC33" s="23">
        <f t="shared" si="4"/>
        <v>0</v>
      </c>
      <c r="AD33" s="23" t="e">
        <f t="shared" si="5"/>
        <v>#DIV/0!</v>
      </c>
      <c r="AE33" s="23"/>
      <c r="AF33" s="23"/>
      <c r="AG33" s="23"/>
      <c r="AH33" s="23"/>
      <c r="AI33" s="23"/>
      <c r="AJ33" s="23"/>
      <c r="AK33" s="23"/>
      <c r="AL33" s="23">
        <f t="shared" si="6"/>
        <v>0</v>
      </c>
      <c r="AM33" s="23" t="e">
        <f t="shared" si="7"/>
        <v>#DIV/0!</v>
      </c>
      <c r="AN33" s="23"/>
      <c r="AO33" s="23"/>
      <c r="AP33" s="23"/>
      <c r="AQ33" s="23"/>
      <c r="AR33" s="23"/>
      <c r="AS33" s="23"/>
      <c r="AT33" s="23"/>
      <c r="AU33" s="23">
        <f t="shared" si="8"/>
        <v>0</v>
      </c>
      <c r="AV33" s="23" t="e">
        <f t="shared" si="9"/>
        <v>#DIV/0!</v>
      </c>
      <c r="AW33" s="23"/>
      <c r="AX33" s="23"/>
      <c r="AY33" s="23"/>
      <c r="AZ33" s="23"/>
      <c r="BA33" s="23"/>
      <c r="BB33" s="23"/>
      <c r="BC33" s="23">
        <f t="shared" si="10"/>
        <v>0</v>
      </c>
      <c r="BD33" s="23" t="e">
        <f t="shared" si="11"/>
        <v>#DIV/0!</v>
      </c>
      <c r="BE33" s="23"/>
      <c r="BF33" s="23"/>
      <c r="BG33" s="23"/>
      <c r="BH33" s="23"/>
      <c r="BI33" s="23"/>
      <c r="BJ33" s="23"/>
      <c r="BK33" s="23">
        <f t="shared" si="12"/>
        <v>0</v>
      </c>
      <c r="BL33" s="23" t="e">
        <f t="shared" si="13"/>
        <v>#DIV/0!</v>
      </c>
      <c r="BM33" s="23"/>
      <c r="BN33" s="23"/>
      <c r="BO33" s="23"/>
      <c r="BP33" s="23"/>
      <c r="BQ33" s="23"/>
      <c r="BR33" s="23"/>
      <c r="BS33" s="23">
        <f t="shared" si="14"/>
        <v>0</v>
      </c>
      <c r="BT33" s="23" t="e">
        <f t="shared" si="15"/>
        <v>#DIV/0!</v>
      </c>
      <c r="BU33" s="23"/>
      <c r="BV33" s="23"/>
      <c r="BW33" s="23"/>
      <c r="BX33" s="23"/>
      <c r="BY33" s="23"/>
      <c r="BZ33" s="23"/>
      <c r="CA33" s="23">
        <f t="shared" si="16"/>
        <v>0</v>
      </c>
      <c r="CB33" s="23" t="e">
        <f t="shared" si="17"/>
        <v>#DIV/0!</v>
      </c>
      <c r="CC33" s="23"/>
      <c r="CD33" s="23"/>
      <c r="CE33" s="23"/>
      <c r="CF33" s="175"/>
      <c r="CG33" s="23"/>
      <c r="CH33" s="175"/>
      <c r="CI33" s="23">
        <f t="shared" si="18"/>
        <v>0</v>
      </c>
      <c r="CJ33" s="23" t="e">
        <f t="shared" si="19"/>
        <v>#DIV/0!</v>
      </c>
      <c r="CK33" s="23"/>
      <c r="CL33" s="23"/>
      <c r="CM33" s="23"/>
      <c r="CN33" s="23"/>
      <c r="CO33" s="23"/>
      <c r="CP33" s="23"/>
      <c r="CQ33" s="23">
        <f t="shared" si="20"/>
        <v>0</v>
      </c>
      <c r="CR33" s="23" t="e">
        <f t="shared" si="21"/>
        <v>#DIV/0!</v>
      </c>
      <c r="CS33" s="23"/>
      <c r="CT33" s="23"/>
      <c r="CU33" s="23"/>
      <c r="CV33" s="23"/>
      <c r="CW33" s="23"/>
      <c r="CX33" s="23"/>
      <c r="CY33" s="23">
        <f t="shared" si="22"/>
        <v>0</v>
      </c>
      <c r="CZ33" s="78" t="e">
        <f t="shared" si="23"/>
        <v>#DIV/0!</v>
      </c>
      <c r="DA33" s="23"/>
      <c r="DB33" s="77"/>
      <c r="DC33" s="23"/>
      <c r="DD33" s="23">
        <f t="shared" si="24"/>
        <v>0</v>
      </c>
      <c r="DE33" s="78" t="e">
        <f t="shared" si="25"/>
        <v>#DIV/0!</v>
      </c>
    </row>
    <row r="34" spans="1:109" ht="15.75" hidden="1">
      <c r="A34" s="99">
        <v>13</v>
      </c>
      <c r="B34" s="47" t="s">
        <v>61</v>
      </c>
      <c r="C34" s="24" t="s">
        <v>36</v>
      </c>
      <c r="D34" s="25">
        <f>D9-D14-D17-D21</f>
        <v>0</v>
      </c>
      <c r="E34" s="25">
        <f>E9-E14-E17-E21</f>
        <v>0</v>
      </c>
      <c r="F34" s="25"/>
      <c r="G34" s="25"/>
      <c r="H34" s="25"/>
      <c r="I34" s="25">
        <f>I9-I14-I17-I21</f>
        <v>0</v>
      </c>
      <c r="J34" s="25">
        <f>J9-J14-J17-J21</f>
        <v>0</v>
      </c>
      <c r="K34" s="25">
        <f t="shared" si="0"/>
        <v>0</v>
      </c>
      <c r="L34" s="25" t="e">
        <f t="shared" si="1"/>
        <v>#DIV/0!</v>
      </c>
      <c r="M34" s="25">
        <f>M9-M14-M17-M21</f>
        <v>0</v>
      </c>
      <c r="N34" s="25">
        <f>N9-N14-N17-N21</f>
        <v>0</v>
      </c>
      <c r="O34" s="25"/>
      <c r="P34" s="25"/>
      <c r="Q34" s="25"/>
      <c r="R34" s="25">
        <f>R9-R14-R17-R21</f>
        <v>0</v>
      </c>
      <c r="S34" s="25">
        <f>S9-S14-S17-S21</f>
        <v>0</v>
      </c>
      <c r="T34" s="25">
        <f t="shared" si="2"/>
        <v>0</v>
      </c>
      <c r="U34" s="25" t="e">
        <f t="shared" si="3"/>
        <v>#DIV/0!</v>
      </c>
      <c r="V34" s="25">
        <f>V9-V14-V17-V21</f>
        <v>0</v>
      </c>
      <c r="W34" s="25">
        <f>W9-W14-W17-W21</f>
        <v>0</v>
      </c>
      <c r="X34" s="25"/>
      <c r="Y34" s="25"/>
      <c r="Z34" s="25"/>
      <c r="AA34" s="25">
        <f>AA9-AA14-AA17-AA21</f>
        <v>0</v>
      </c>
      <c r="AB34" s="25">
        <f>AB9-AB14-AB17-AB21</f>
        <v>0</v>
      </c>
      <c r="AC34" s="25">
        <f t="shared" si="4"/>
        <v>0</v>
      </c>
      <c r="AD34" s="25" t="e">
        <f t="shared" si="5"/>
        <v>#DIV/0!</v>
      </c>
      <c r="AE34" s="25">
        <f>AE9-AE14-AE17-AE21</f>
        <v>0</v>
      </c>
      <c r="AF34" s="25">
        <f>AF9-AF14-AF17-AF21</f>
        <v>0</v>
      </c>
      <c r="AG34" s="25"/>
      <c r="AH34" s="25"/>
      <c r="AI34" s="25"/>
      <c r="AJ34" s="25">
        <f>AJ9-AJ14-AJ17-AJ21</f>
        <v>0</v>
      </c>
      <c r="AK34" s="25">
        <f>AK9-AK14-AK17-AK21</f>
        <v>0</v>
      </c>
      <c r="AL34" s="25">
        <f t="shared" si="6"/>
        <v>0</v>
      </c>
      <c r="AM34" s="25" t="e">
        <f t="shared" si="7"/>
        <v>#DIV/0!</v>
      </c>
      <c r="AN34" s="25">
        <f>AN9-AN14-AN17-AN21</f>
        <v>0</v>
      </c>
      <c r="AO34" s="25"/>
      <c r="AP34" s="25"/>
      <c r="AQ34" s="25"/>
      <c r="AR34" s="25">
        <f>AR9-AR14-AR17-AR21</f>
        <v>0</v>
      </c>
      <c r="AS34" s="25">
        <f>AS9-AS14-AS17-AS21</f>
        <v>0</v>
      </c>
      <c r="AT34" s="25">
        <f>AT9-AT14-AT17-AT21</f>
        <v>0</v>
      </c>
      <c r="AU34" s="25">
        <f t="shared" si="8"/>
        <v>0</v>
      </c>
      <c r="AV34" s="25" t="e">
        <f t="shared" si="9"/>
        <v>#DIV/0!</v>
      </c>
      <c r="AW34" s="25">
        <f>AW9-AW14-AW17-AW21</f>
        <v>0</v>
      </c>
      <c r="AX34" s="25"/>
      <c r="AY34" s="25"/>
      <c r="AZ34" s="25">
        <f>AZ9-AZ14-AZ17-AZ21</f>
        <v>0</v>
      </c>
      <c r="BA34" s="25">
        <f>BA9-BA14-BA17-BA21</f>
        <v>0</v>
      </c>
      <c r="BB34" s="25">
        <f>BB9-BB14-BB17-BB21</f>
        <v>0</v>
      </c>
      <c r="BC34" s="25">
        <f t="shared" si="10"/>
        <v>0</v>
      </c>
      <c r="BD34" s="25" t="e">
        <f t="shared" si="11"/>
        <v>#DIV/0!</v>
      </c>
      <c r="BE34" s="25">
        <f>BE9-BE14-BE17-BE21</f>
        <v>0</v>
      </c>
      <c r="BF34" s="25"/>
      <c r="BG34" s="25"/>
      <c r="BH34" s="25">
        <f>BH9-BH14-BH17-BH21</f>
        <v>0</v>
      </c>
      <c r="BI34" s="25">
        <f>BI9-BI14-BI17-BI21</f>
        <v>0</v>
      </c>
      <c r="BJ34" s="25">
        <f>BJ9-BJ14-BJ17-BJ21</f>
        <v>0</v>
      </c>
      <c r="BK34" s="25">
        <f t="shared" si="12"/>
        <v>0</v>
      </c>
      <c r="BL34" s="25" t="e">
        <f t="shared" si="13"/>
        <v>#DIV/0!</v>
      </c>
      <c r="BM34" s="25">
        <f>BM9-BM14-BM17-BM21</f>
        <v>0</v>
      </c>
      <c r="BN34" s="25">
        <f>BN9-BN14-BN17-BN21</f>
        <v>0</v>
      </c>
      <c r="BO34" s="25"/>
      <c r="BP34" s="25"/>
      <c r="BQ34" s="25">
        <f>BQ9-BQ14-BQ17-BQ21</f>
        <v>0</v>
      </c>
      <c r="BR34" s="25">
        <f>BR9-BR14-BR17-BR21</f>
        <v>0</v>
      </c>
      <c r="BS34" s="25">
        <f t="shared" si="14"/>
        <v>0</v>
      </c>
      <c r="BT34" s="25" t="e">
        <f t="shared" si="15"/>
        <v>#DIV/0!</v>
      </c>
      <c r="BU34" s="25">
        <f>BU9-BU14-BU17-BU21</f>
        <v>0</v>
      </c>
      <c r="BV34" s="25"/>
      <c r="BW34" s="25"/>
      <c r="BX34" s="25"/>
      <c r="BY34" s="25">
        <f>BY9-BY14-BY17-BY21</f>
        <v>0</v>
      </c>
      <c r="BZ34" s="25">
        <f>BZ9-BZ14-BZ17-BZ21</f>
        <v>0</v>
      </c>
      <c r="CA34" s="25">
        <f t="shared" si="16"/>
        <v>0</v>
      </c>
      <c r="CB34" s="25" t="e">
        <f t="shared" si="17"/>
        <v>#DIV/0!</v>
      </c>
      <c r="CC34" s="25"/>
      <c r="CD34" s="25"/>
      <c r="CE34" s="25"/>
      <c r="CF34" s="176">
        <f>CF9-CF14-CF17-CF21</f>
        <v>0</v>
      </c>
      <c r="CG34" s="25">
        <f>CG9-CG14-CG17-CG21</f>
        <v>0</v>
      </c>
      <c r="CH34" s="176">
        <f>CH9-CH14-CH17-CH21</f>
        <v>0</v>
      </c>
      <c r="CI34" s="25">
        <f t="shared" si="18"/>
        <v>0</v>
      </c>
      <c r="CJ34" s="25" t="e">
        <f t="shared" si="19"/>
        <v>#DIV/0!</v>
      </c>
      <c r="CK34" s="25">
        <f>CK9-CK14-CK17-CK21</f>
        <v>0</v>
      </c>
      <c r="CL34" s="25"/>
      <c r="CM34" s="25"/>
      <c r="CN34" s="25">
        <f>CN9-CN14-CN17-CN21</f>
        <v>0</v>
      </c>
      <c r="CO34" s="25">
        <f>CO9-CO14-CO17-CO21</f>
        <v>0</v>
      </c>
      <c r="CP34" s="25">
        <f>CP9-CP14-CP17-CP21</f>
        <v>0</v>
      </c>
      <c r="CQ34" s="25">
        <f t="shared" si="20"/>
        <v>0</v>
      </c>
      <c r="CR34" s="25" t="e">
        <f t="shared" si="21"/>
        <v>#DIV/0!</v>
      </c>
      <c r="CS34" s="25">
        <f>CS9-CS14-CS17-CS21</f>
        <v>0</v>
      </c>
      <c r="CT34" s="25"/>
      <c r="CU34" s="25"/>
      <c r="CV34" s="25"/>
      <c r="CW34" s="25">
        <f>CW9-CW14-CW17-CW21</f>
        <v>0</v>
      </c>
      <c r="CX34" s="25">
        <f>CX9-CX14-CX17-CX21</f>
        <v>0</v>
      </c>
      <c r="CY34" s="25">
        <f t="shared" si="22"/>
        <v>0</v>
      </c>
      <c r="CZ34" s="80" t="e">
        <f t="shared" si="23"/>
        <v>#DIV/0!</v>
      </c>
      <c r="DA34" s="25">
        <f>DA9-DA14-DA17-DA21</f>
        <v>0</v>
      </c>
      <c r="DB34" s="79">
        <f>DB9-DB14-DB17-DB21</f>
        <v>0</v>
      </c>
      <c r="DC34" s="25">
        <f>DC9-DC14-DC17-DC21</f>
        <v>0</v>
      </c>
      <c r="DD34" s="25">
        <f t="shared" si="24"/>
        <v>0</v>
      </c>
      <c r="DE34" s="80" t="e">
        <f t="shared" si="25"/>
        <v>#DIV/0!</v>
      </c>
    </row>
    <row r="35" spans="1:109" ht="15.75" hidden="1">
      <c r="A35" s="98" t="s">
        <v>62</v>
      </c>
      <c r="B35" s="221" t="s">
        <v>63</v>
      </c>
      <c r="C35" s="10" t="s">
        <v>1</v>
      </c>
      <c r="D35" s="17"/>
      <c r="E35" s="17"/>
      <c r="F35" s="17"/>
      <c r="G35" s="17"/>
      <c r="H35" s="17"/>
      <c r="I35" s="17"/>
      <c r="J35" s="17"/>
      <c r="K35" s="17">
        <f t="shared" si="0"/>
        <v>0</v>
      </c>
      <c r="L35" s="17" t="e">
        <f t="shared" si="1"/>
        <v>#DIV/0!</v>
      </c>
      <c r="M35" s="17"/>
      <c r="N35" s="17"/>
      <c r="O35" s="17"/>
      <c r="P35" s="17"/>
      <c r="Q35" s="17"/>
      <c r="R35" s="17"/>
      <c r="S35" s="17"/>
      <c r="T35" s="17">
        <f t="shared" si="2"/>
        <v>0</v>
      </c>
      <c r="U35" s="17" t="e">
        <f t="shared" si="3"/>
        <v>#DIV/0!</v>
      </c>
      <c r="V35" s="17"/>
      <c r="W35" s="17"/>
      <c r="X35" s="17"/>
      <c r="Y35" s="17"/>
      <c r="Z35" s="17"/>
      <c r="AA35" s="17"/>
      <c r="AB35" s="17"/>
      <c r="AC35" s="17">
        <f t="shared" si="4"/>
        <v>0</v>
      </c>
      <c r="AD35" s="17" t="e">
        <f t="shared" si="5"/>
        <v>#DIV/0!</v>
      </c>
      <c r="AE35" s="17"/>
      <c r="AF35" s="17"/>
      <c r="AG35" s="17"/>
      <c r="AH35" s="17"/>
      <c r="AI35" s="17"/>
      <c r="AJ35" s="17"/>
      <c r="AK35" s="17"/>
      <c r="AL35" s="17">
        <f t="shared" si="6"/>
        <v>0</v>
      </c>
      <c r="AM35" s="17" t="e">
        <f t="shared" si="7"/>
        <v>#DIV/0!</v>
      </c>
      <c r="AN35" s="17"/>
      <c r="AO35" s="17"/>
      <c r="AP35" s="17"/>
      <c r="AQ35" s="17"/>
      <c r="AR35" s="17"/>
      <c r="AS35" s="17"/>
      <c r="AT35" s="17"/>
      <c r="AU35" s="17">
        <f t="shared" si="8"/>
        <v>0</v>
      </c>
      <c r="AV35" s="17" t="e">
        <f t="shared" si="9"/>
        <v>#DIV/0!</v>
      </c>
      <c r="AW35" s="17"/>
      <c r="AX35" s="17"/>
      <c r="AY35" s="17"/>
      <c r="AZ35" s="17"/>
      <c r="BA35" s="17"/>
      <c r="BB35" s="17"/>
      <c r="BC35" s="17">
        <f t="shared" si="10"/>
        <v>0</v>
      </c>
      <c r="BD35" s="17" t="e">
        <f t="shared" si="11"/>
        <v>#DIV/0!</v>
      </c>
      <c r="BE35" s="17"/>
      <c r="BF35" s="17"/>
      <c r="BG35" s="17"/>
      <c r="BH35" s="17"/>
      <c r="BI35" s="17"/>
      <c r="BJ35" s="17"/>
      <c r="BK35" s="17">
        <f t="shared" si="12"/>
        <v>0</v>
      </c>
      <c r="BL35" s="17" t="e">
        <f t="shared" si="13"/>
        <v>#DIV/0!</v>
      </c>
      <c r="BM35" s="17"/>
      <c r="BN35" s="17"/>
      <c r="BO35" s="17"/>
      <c r="BP35" s="17"/>
      <c r="BQ35" s="17"/>
      <c r="BR35" s="17"/>
      <c r="BS35" s="17">
        <f t="shared" si="14"/>
        <v>0</v>
      </c>
      <c r="BT35" s="17" t="e">
        <f t="shared" si="15"/>
        <v>#DIV/0!</v>
      </c>
      <c r="BU35" s="17"/>
      <c r="BV35" s="17"/>
      <c r="BW35" s="17"/>
      <c r="BX35" s="17"/>
      <c r="BY35" s="17"/>
      <c r="BZ35" s="17"/>
      <c r="CA35" s="17">
        <f t="shared" si="16"/>
        <v>0</v>
      </c>
      <c r="CB35" s="17" t="e">
        <f t="shared" si="17"/>
        <v>#DIV/0!</v>
      </c>
      <c r="CC35" s="17"/>
      <c r="CD35" s="17"/>
      <c r="CE35" s="17"/>
      <c r="CF35" s="141"/>
      <c r="CG35" s="17"/>
      <c r="CH35" s="141"/>
      <c r="CI35" s="17">
        <f t="shared" si="18"/>
        <v>0</v>
      </c>
      <c r="CJ35" s="17" t="e">
        <f t="shared" si="19"/>
        <v>#DIV/0!</v>
      </c>
      <c r="CK35" s="17"/>
      <c r="CL35" s="17"/>
      <c r="CM35" s="17"/>
      <c r="CN35" s="17"/>
      <c r="CO35" s="17"/>
      <c r="CP35" s="17"/>
      <c r="CQ35" s="17">
        <f t="shared" si="20"/>
        <v>0</v>
      </c>
      <c r="CR35" s="17" t="e">
        <f t="shared" si="21"/>
        <v>#DIV/0!</v>
      </c>
      <c r="CS35" s="17"/>
      <c r="CT35" s="17"/>
      <c r="CU35" s="17"/>
      <c r="CV35" s="17"/>
      <c r="CW35" s="17"/>
      <c r="CX35" s="17"/>
      <c r="CY35" s="17">
        <f t="shared" si="22"/>
        <v>0</v>
      </c>
      <c r="CZ35" s="74" t="e">
        <f t="shared" si="23"/>
        <v>#DIV/0!</v>
      </c>
      <c r="DA35" s="17"/>
      <c r="DB35" s="73"/>
      <c r="DC35" s="17"/>
      <c r="DD35" s="17">
        <f t="shared" si="24"/>
        <v>0</v>
      </c>
      <c r="DE35" s="74" t="e">
        <f t="shared" si="25"/>
        <v>#DIV/0!</v>
      </c>
    </row>
    <row r="36" spans="1:109" ht="15.75" hidden="1">
      <c r="A36" s="98" t="s">
        <v>62</v>
      </c>
      <c r="B36" s="221"/>
      <c r="C36" s="10" t="s">
        <v>36</v>
      </c>
      <c r="D36" s="17"/>
      <c r="E36" s="17"/>
      <c r="F36" s="17"/>
      <c r="G36" s="17"/>
      <c r="H36" s="17"/>
      <c r="I36" s="17"/>
      <c r="J36" s="17"/>
      <c r="K36" s="17">
        <f t="shared" si="0"/>
        <v>0</v>
      </c>
      <c r="L36" s="17" t="e">
        <f t="shared" si="1"/>
        <v>#DIV/0!</v>
      </c>
      <c r="M36" s="17"/>
      <c r="N36" s="17"/>
      <c r="O36" s="17"/>
      <c r="P36" s="17"/>
      <c r="Q36" s="17"/>
      <c r="R36" s="17"/>
      <c r="S36" s="17"/>
      <c r="T36" s="17">
        <f t="shared" si="2"/>
        <v>0</v>
      </c>
      <c r="U36" s="17" t="e">
        <f t="shared" si="3"/>
        <v>#DIV/0!</v>
      </c>
      <c r="V36" s="17"/>
      <c r="W36" s="17"/>
      <c r="X36" s="17"/>
      <c r="Y36" s="17"/>
      <c r="Z36" s="17"/>
      <c r="AA36" s="17"/>
      <c r="AB36" s="17"/>
      <c r="AC36" s="17">
        <f t="shared" si="4"/>
        <v>0</v>
      </c>
      <c r="AD36" s="17" t="e">
        <f t="shared" si="5"/>
        <v>#DIV/0!</v>
      </c>
      <c r="AE36" s="17"/>
      <c r="AF36" s="17"/>
      <c r="AG36" s="17"/>
      <c r="AH36" s="17"/>
      <c r="AI36" s="17"/>
      <c r="AJ36" s="17"/>
      <c r="AK36" s="17"/>
      <c r="AL36" s="17">
        <f t="shared" si="6"/>
        <v>0</v>
      </c>
      <c r="AM36" s="17" t="e">
        <f t="shared" si="7"/>
        <v>#DIV/0!</v>
      </c>
      <c r="AN36" s="17"/>
      <c r="AO36" s="17"/>
      <c r="AP36" s="17"/>
      <c r="AQ36" s="17"/>
      <c r="AR36" s="17"/>
      <c r="AS36" s="17"/>
      <c r="AT36" s="17"/>
      <c r="AU36" s="17">
        <f t="shared" si="8"/>
        <v>0</v>
      </c>
      <c r="AV36" s="17" t="e">
        <f t="shared" si="9"/>
        <v>#DIV/0!</v>
      </c>
      <c r="AW36" s="17"/>
      <c r="AX36" s="17"/>
      <c r="AY36" s="17"/>
      <c r="AZ36" s="17"/>
      <c r="BA36" s="17"/>
      <c r="BB36" s="17"/>
      <c r="BC36" s="17">
        <f t="shared" si="10"/>
        <v>0</v>
      </c>
      <c r="BD36" s="17" t="e">
        <f t="shared" si="11"/>
        <v>#DIV/0!</v>
      </c>
      <c r="BE36" s="17"/>
      <c r="BF36" s="17"/>
      <c r="BG36" s="17"/>
      <c r="BH36" s="17"/>
      <c r="BI36" s="17"/>
      <c r="BJ36" s="17"/>
      <c r="BK36" s="17">
        <f t="shared" si="12"/>
        <v>0</v>
      </c>
      <c r="BL36" s="17" t="e">
        <f t="shared" si="13"/>
        <v>#DIV/0!</v>
      </c>
      <c r="BM36" s="17"/>
      <c r="BN36" s="17"/>
      <c r="BO36" s="17"/>
      <c r="BP36" s="17"/>
      <c r="BQ36" s="17"/>
      <c r="BR36" s="17"/>
      <c r="BS36" s="17">
        <f t="shared" si="14"/>
        <v>0</v>
      </c>
      <c r="BT36" s="17" t="e">
        <f t="shared" si="15"/>
        <v>#DIV/0!</v>
      </c>
      <c r="BU36" s="17"/>
      <c r="BV36" s="17"/>
      <c r="BW36" s="17"/>
      <c r="BX36" s="17"/>
      <c r="BY36" s="17"/>
      <c r="BZ36" s="17"/>
      <c r="CA36" s="17">
        <f t="shared" si="16"/>
        <v>0</v>
      </c>
      <c r="CB36" s="17" t="e">
        <f t="shared" si="17"/>
        <v>#DIV/0!</v>
      </c>
      <c r="CC36" s="17"/>
      <c r="CD36" s="17"/>
      <c r="CE36" s="17"/>
      <c r="CF36" s="141"/>
      <c r="CG36" s="17"/>
      <c r="CH36" s="141"/>
      <c r="CI36" s="17">
        <f t="shared" si="18"/>
        <v>0</v>
      </c>
      <c r="CJ36" s="17" t="e">
        <f t="shared" si="19"/>
        <v>#DIV/0!</v>
      </c>
      <c r="CK36" s="17"/>
      <c r="CL36" s="17"/>
      <c r="CM36" s="17"/>
      <c r="CN36" s="17"/>
      <c r="CO36" s="17"/>
      <c r="CP36" s="17"/>
      <c r="CQ36" s="17">
        <f t="shared" si="20"/>
        <v>0</v>
      </c>
      <c r="CR36" s="17" t="e">
        <f t="shared" si="21"/>
        <v>#DIV/0!</v>
      </c>
      <c r="CS36" s="17"/>
      <c r="CT36" s="17"/>
      <c r="CU36" s="17"/>
      <c r="CV36" s="17"/>
      <c r="CW36" s="17"/>
      <c r="CX36" s="17"/>
      <c r="CY36" s="17">
        <f t="shared" si="22"/>
        <v>0</v>
      </c>
      <c r="CZ36" s="74" t="e">
        <f t="shared" si="23"/>
        <v>#DIV/0!</v>
      </c>
      <c r="DA36" s="17"/>
      <c r="DB36" s="73"/>
      <c r="DC36" s="17"/>
      <c r="DD36" s="17">
        <f t="shared" si="24"/>
        <v>0</v>
      </c>
      <c r="DE36" s="74" t="e">
        <f t="shared" si="25"/>
        <v>#DIV/0!</v>
      </c>
    </row>
    <row r="37" spans="1:109" s="8" customFormat="1" ht="18.75">
      <c r="A37" s="98">
        <v>14</v>
      </c>
      <c r="B37" s="6" t="s">
        <v>64</v>
      </c>
      <c r="C37" s="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177"/>
      <c r="CG37" s="26"/>
      <c r="CH37" s="177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82"/>
      <c r="DA37" s="26"/>
      <c r="DB37" s="81"/>
      <c r="DC37" s="105"/>
      <c r="DD37" s="26"/>
      <c r="DE37" s="82"/>
    </row>
    <row r="38" spans="1:109" ht="31.5">
      <c r="A38" s="98" t="s">
        <v>65</v>
      </c>
      <c r="B38" s="27" t="s">
        <v>66</v>
      </c>
      <c r="C38" s="10" t="s">
        <v>36</v>
      </c>
      <c r="D38" s="17">
        <v>64828.2026</v>
      </c>
      <c r="E38" s="17">
        <f>62437.18+312.633</f>
        <v>62749.813</v>
      </c>
      <c r="F38" s="17">
        <f>61931.702+293.485+300.16</f>
        <v>62525.347</v>
      </c>
      <c r="G38" s="17">
        <f>60694.598+253.078+279.82+289.32</f>
        <v>61516.816</v>
      </c>
      <c r="H38" s="121">
        <f>56788.521+269.35+282.018+219.53</f>
        <v>57559.418999999994</v>
      </c>
      <c r="I38" s="187">
        <f>58695.729+714+72</f>
        <v>59481.729</v>
      </c>
      <c r="J38" s="121">
        <f>61204.927+313.616+212.079+291.089</f>
        <v>62021.711</v>
      </c>
      <c r="K38" s="52">
        <f t="shared" si="0"/>
        <v>2539.9820000000036</v>
      </c>
      <c r="L38" s="109">
        <f>IF(I38=0,0,K38/I38)</f>
        <v>0.042701885817744194</v>
      </c>
      <c r="M38" s="17">
        <v>56712.059</v>
      </c>
      <c r="N38" s="17">
        <f>55370.128+280.576</f>
        <v>55650.704</v>
      </c>
      <c r="O38" s="17">
        <f>56349.266+269.422+330</f>
        <v>56948.688</v>
      </c>
      <c r="P38" s="17">
        <f>54172.488+263.257+255.668+243.007</f>
        <v>54934.41999999999</v>
      </c>
      <c r="Q38" s="121">
        <f>53277.438+261.062+225.037+279.383</f>
        <v>54042.92</v>
      </c>
      <c r="R38" s="187">
        <f>54717.84+714+72</f>
        <v>55503.84</v>
      </c>
      <c r="S38" s="121">
        <f>56939.409+212.97+260.71+274.095</f>
        <v>57687.184</v>
      </c>
      <c r="T38" s="52">
        <f aca="true" t="shared" si="26" ref="T38:T47">S38-R38</f>
        <v>2183.3440000000046</v>
      </c>
      <c r="U38" s="109">
        <f>IF(R38=0,0,T38/R38)</f>
        <v>0.03933680984955284</v>
      </c>
      <c r="V38" s="17">
        <f>57451.388</f>
        <v>57451.388</v>
      </c>
      <c r="W38" s="17">
        <f>57120.62+312.163</f>
        <v>57432.783</v>
      </c>
      <c r="X38" s="17">
        <f>59281.805+300.603+334.711</f>
        <v>59917.119000000006</v>
      </c>
      <c r="Y38" s="17">
        <f>55495.537+263.024+226.16+278.619</f>
        <v>56263.34</v>
      </c>
      <c r="Z38" s="121">
        <f>52589.863+287.44+289.972+175.287</f>
        <v>53342.562</v>
      </c>
      <c r="AA38" s="187">
        <f>54688.415+714+72</f>
        <v>55474.415</v>
      </c>
      <c r="AB38" s="121">
        <v>58163.295</v>
      </c>
      <c r="AC38" s="52">
        <f aca="true" t="shared" si="27" ref="AC38:AC47">AB38-AA38</f>
        <v>2688.8799999999974</v>
      </c>
      <c r="AD38" s="109">
        <f>IF(AA38=0,0,AC38/AA38)</f>
        <v>0.04847063281334282</v>
      </c>
      <c r="AE38" s="17">
        <f>49987.361+321.396</f>
        <v>50308.757</v>
      </c>
      <c r="AF38" s="121">
        <f>50800.325+308.842</f>
        <v>51109.166999999994</v>
      </c>
      <c r="AG38" s="121">
        <f>50831.39+245.89+265.477</f>
        <v>51342.757</v>
      </c>
      <c r="AH38" s="121">
        <f>48776.907+282.466+179.92+241.409</f>
        <v>49480.702</v>
      </c>
      <c r="AI38" s="121">
        <f>45663.218+266.638+249.107+106.692</f>
        <v>46285.655000000006</v>
      </c>
      <c r="AJ38" s="187">
        <f>49565.562+714+72</f>
        <v>50351.562</v>
      </c>
      <c r="AK38" s="121">
        <f>49435.376+137.618+283.309+274.098</f>
        <v>50130.401</v>
      </c>
      <c r="AL38" s="152">
        <f aca="true" t="shared" si="28" ref="AL38:AL47">AK38-AJ38</f>
        <v>-221.16100000000006</v>
      </c>
      <c r="AM38" s="109">
        <f>IF(AJ38=0,0,AL38/AJ38)</f>
        <v>-0.0043923364284111</v>
      </c>
      <c r="AN38" s="17">
        <f>46799.128+339.129</f>
        <v>47138.257</v>
      </c>
      <c r="AO38" s="17">
        <f>46572.071+328.879</f>
        <v>46900.950000000004</v>
      </c>
      <c r="AP38" s="17">
        <f>45170.541+203.523+258.721</f>
        <v>45632.784999999996</v>
      </c>
      <c r="AQ38" s="121">
        <f>45448.313+143.811+324.455+255.827</f>
        <v>46172.406</v>
      </c>
      <c r="AR38" s="121">
        <f>42090.955+228.876+296.228+97.984</f>
        <v>42714.043</v>
      </c>
      <c r="AS38" s="187">
        <f>46223.194+714+72</f>
        <v>47009.194</v>
      </c>
      <c r="AT38" s="121">
        <f>45839.427+112.135+316.71+314.548</f>
        <v>46582.82000000001</v>
      </c>
      <c r="AU38" s="52">
        <f aca="true" t="shared" si="29" ref="AU38:AU47">AT38-AS38</f>
        <v>-426.37399999999616</v>
      </c>
      <c r="AV38" s="109">
        <f>IF(AS38=0,0,AU38/AS38)</f>
        <v>-0.009070012985119382</v>
      </c>
      <c r="AW38" s="17">
        <f>43848.368+376.611</f>
        <v>44224.979</v>
      </c>
      <c r="AX38" s="17">
        <f>45412.552+203.16+289.009</f>
        <v>45904.721000000005</v>
      </c>
      <c r="AY38" s="121">
        <f>44417.905+161.269+331.976+308.604</f>
        <v>45219.754</v>
      </c>
      <c r="AZ38" s="121">
        <f>40620.005+109.587+322.129+300.267</f>
        <v>41351.988</v>
      </c>
      <c r="BA38" s="159">
        <f>45070.216+714+72</f>
        <v>45856.216</v>
      </c>
      <c r="BB38" s="121">
        <f>47669.03+347.987+120.886+371.778</f>
        <v>48509.681</v>
      </c>
      <c r="BC38" s="52">
        <f aca="true" t="shared" si="30" ref="BC38:BC47">BB38-BA38</f>
        <v>2653.4649999999965</v>
      </c>
      <c r="BD38" s="109">
        <f>IF(BA38=0,0,BC38/BA38)</f>
        <v>0.057864892297262306</v>
      </c>
      <c r="BE38" s="17">
        <f>46530.009+402.397</f>
        <v>46932.405999999995</v>
      </c>
      <c r="BF38" s="17">
        <f>49995.104+360.46+213.76</f>
        <v>50569.324</v>
      </c>
      <c r="BG38" s="17">
        <f>45396.574+311.848+153.307+351.351</f>
        <v>46213.08</v>
      </c>
      <c r="BH38" s="121">
        <f>48355.505+363.302+125.071+361.566</f>
        <v>49205.444</v>
      </c>
      <c r="BI38" s="187">
        <f>47260.655+714+72</f>
        <v>48046.655</v>
      </c>
      <c r="BJ38" s="121">
        <f>50034.068+364.768+396.165+145.076</f>
        <v>50940.077</v>
      </c>
      <c r="BK38" s="52">
        <f aca="true" t="shared" si="31" ref="BK38:BK47">BJ38-BI38</f>
        <v>2893.4219999999987</v>
      </c>
      <c r="BL38" s="109">
        <f>IF(BI38=0,0,BK38/BI38)</f>
        <v>0.06022109135381014</v>
      </c>
      <c r="BM38" s="17">
        <f>47362.743+410.482</f>
        <v>47773.225000000006</v>
      </c>
      <c r="BN38" s="17">
        <f>47191.649+186.54+333.093</f>
        <v>47711.282</v>
      </c>
      <c r="BO38" s="17">
        <f>45278.157+338.637+310.48+140.813</f>
        <v>46068.08700000001</v>
      </c>
      <c r="BP38" s="121">
        <f>44579.884+113.078+339.983+306.762</f>
        <v>45339.707</v>
      </c>
      <c r="BQ38" s="187">
        <f>45660.642+714+72</f>
        <v>46446.642</v>
      </c>
      <c r="BR38" s="121">
        <f>52661.766+379.226+374.332+142.008</f>
        <v>53557.33200000001</v>
      </c>
      <c r="BS38" s="52">
        <f aca="true" t="shared" si="32" ref="BS38:BS47">BR38-BQ38</f>
        <v>7110.69000000001</v>
      </c>
      <c r="BT38" s="109">
        <f>IF(BQ38=0,0,BS38/BQ38)</f>
        <v>0.15309373711020938</v>
      </c>
      <c r="BU38" s="17">
        <f>47385.775+345.513</f>
        <v>47731.288</v>
      </c>
      <c r="BV38" s="121">
        <f>45102.871+148.92+273.545</f>
        <v>45525.335999999996</v>
      </c>
      <c r="BW38" s="121">
        <f>47767.57+297.655+139.51+269.345</f>
        <v>48474.08</v>
      </c>
      <c r="BX38" s="121">
        <f>45847.906+114.644+285.925+267.954</f>
        <v>46516.429000000004</v>
      </c>
      <c r="BY38" s="187">
        <f>46099.958+714+72</f>
        <v>46885.958</v>
      </c>
      <c r="BZ38" s="121">
        <f>48421.596+140.766+293.724+296.014</f>
        <v>49152.100000000006</v>
      </c>
      <c r="CA38" s="52">
        <f aca="true" t="shared" si="33" ref="CA38:CA47">BZ38-BY38</f>
        <v>2266.142000000007</v>
      </c>
      <c r="CB38" s="109">
        <f>IF(BY38=0,0,CA38/BY38)</f>
        <v>0.04833306381411695</v>
      </c>
      <c r="CC38" s="17">
        <f>55286.9+325.782</f>
        <v>55612.682</v>
      </c>
      <c r="CD38" s="17">
        <f>53163.427+176.619+275.341</f>
        <v>53615.387</v>
      </c>
      <c r="CE38" s="141">
        <f>51476.221+181.897+258.828+296.033</f>
        <v>52212.979</v>
      </c>
      <c r="CF38" s="186">
        <f>50707.716+252.454+134.309+253.362-1220</f>
        <v>50127.841</v>
      </c>
      <c r="CG38" s="187">
        <f>51623.322+714+72</f>
        <v>52409.322</v>
      </c>
      <c r="CH38" s="186">
        <f>51509.187+290.876+314.169+140.818</f>
        <v>52255.049999999996</v>
      </c>
      <c r="CI38" s="52">
        <f aca="true" t="shared" si="34" ref="CI38:CI47">CH38-CG38</f>
        <v>-154.27200000000448</v>
      </c>
      <c r="CJ38" s="109">
        <f>IF(CG38=0,0,CI38/CG38)</f>
        <v>-0.0029435984689900104</v>
      </c>
      <c r="CK38" s="17">
        <f>55458.482+310.18</f>
        <v>55768.662000000004</v>
      </c>
      <c r="CL38" s="17">
        <f>56682.907+214.742+271.866</f>
        <v>57169.515</v>
      </c>
      <c r="CM38" s="121">
        <f>55193.555+269.172+276.507+196.343</f>
        <v>55935.577</v>
      </c>
      <c r="CN38" s="186">
        <f>54641.229+293.803+276.241+164.873+746.2</f>
        <v>56122.346</v>
      </c>
      <c r="CO38" s="187">
        <f>54994.745+714+72</f>
        <v>55780.745</v>
      </c>
      <c r="CP38" s="186">
        <f>54866.333+279.256+296.236+173.63</f>
        <v>55615.454999999994</v>
      </c>
      <c r="CQ38" s="52">
        <f aca="true" t="shared" si="35" ref="CQ38:CQ47">CP38-CO38</f>
        <v>-165.29000000000815</v>
      </c>
      <c r="CR38" s="109">
        <f>IF(CO38=0,0,CQ38/CO38)</f>
        <v>-0.002963208899415168</v>
      </c>
      <c r="CS38" s="17">
        <f>62081.738+306.426</f>
        <v>62388.164</v>
      </c>
      <c r="CT38" s="17">
        <f>61832.64+299.377+251.314</f>
        <v>62383.331</v>
      </c>
      <c r="CU38" s="121">
        <f>59776.803+252.885+273.52+301.628</f>
        <v>60604.835999999996</v>
      </c>
      <c r="CV38" s="121">
        <f>62133.945+221.898+308.153+324.418+473.8</f>
        <v>63462.214</v>
      </c>
      <c r="CW38" s="187">
        <f>60250.303+714+0.531+60</f>
        <v>61024.834</v>
      </c>
      <c r="CX38" s="121">
        <f>61784.156+338.362+326.748+235.768</f>
        <v>62685.034</v>
      </c>
      <c r="CY38" s="120">
        <f aca="true" t="shared" si="36" ref="CY38:CY63">CX38-CW38</f>
        <v>1660.199999999997</v>
      </c>
      <c r="CZ38" s="109">
        <f>IF(CW38=0,0,CY38/CW38)</f>
        <v>0.027205317756374348</v>
      </c>
      <c r="DA38" s="145">
        <v>634913.1669999999</v>
      </c>
      <c r="DB38" s="84">
        <f>I38+R38+AA38+AJ38+AS38+BA38+BI38+BQ38+BY38+CG38+CO38+CW38</f>
        <v>624271.1120000001</v>
      </c>
      <c r="DC38" s="106" t="e">
        <f>IF(#REF!&gt;=1,J38,I38)+IF(#REF!&gt;=2,S38,R38)+IF(#REF!&gt;=3,AB38,AA38)+IF(#REF!&gt;=4,AK38,AJ38)+IF(#REF!&gt;=5,AT38,AS38)+IF(#REF!&gt;=6,BB38,BA38)+IF(#REF!&gt;=7,BJ38,BI38)+IF(#REF!&gt;=8,BR38,BQ38)+IF(#REF!&gt;=9,BZ38,BY38)+IF(#REF!&gt;=10,CH38,CG38)+IF(#REF!&gt;=11,CP38,CO38)+IF(#REF!&gt;=12,CX38,CW38)</f>
        <v>#REF!</v>
      </c>
      <c r="DD38" s="52" t="e">
        <f aca="true" t="shared" si="37" ref="DD38:DD47">DC38-DB38</f>
        <v>#REF!</v>
      </c>
      <c r="DE38" s="113" t="e">
        <f>IF(DB38=0,0,DD38/DB38)</f>
        <v>#REF!</v>
      </c>
    </row>
    <row r="39" spans="1:109" ht="31.5">
      <c r="A39" s="98" t="s">
        <v>67</v>
      </c>
      <c r="B39" s="27" t="s">
        <v>68</v>
      </c>
      <c r="C39" s="10" t="s">
        <v>36</v>
      </c>
      <c r="D39" s="17">
        <v>9912.929</v>
      </c>
      <c r="E39" s="17">
        <v>10285.542</v>
      </c>
      <c r="F39" s="17">
        <v>10167.76</v>
      </c>
      <c r="G39" s="17">
        <v>10348.043</v>
      </c>
      <c r="H39" s="121">
        <v>9479.192</v>
      </c>
      <c r="I39" s="187">
        <v>9510.628</v>
      </c>
      <c r="J39" s="121">
        <v>10158.212</v>
      </c>
      <c r="K39" s="52">
        <f t="shared" si="0"/>
        <v>647.5839999999989</v>
      </c>
      <c r="L39" s="109">
        <f aca="true" t="shared" si="38" ref="L39:L107">IF(I39=0,0,K39/I39)</f>
        <v>0.06809056142244223</v>
      </c>
      <c r="M39" s="17">
        <v>9117.775</v>
      </c>
      <c r="N39" s="17">
        <v>9024.065</v>
      </c>
      <c r="O39" s="17">
        <v>9294.324</v>
      </c>
      <c r="P39" s="17">
        <v>9588.46</v>
      </c>
      <c r="Q39" s="121">
        <v>8911.862</v>
      </c>
      <c r="R39" s="187">
        <v>8943.664</v>
      </c>
      <c r="S39" s="121">
        <v>8822.194</v>
      </c>
      <c r="T39" s="52">
        <f t="shared" si="26"/>
        <v>-121.47000000000116</v>
      </c>
      <c r="U39" s="109">
        <f aca="true" t="shared" si="39" ref="U39:U45">IF(R39=0,0,T39/R39)</f>
        <v>-0.013581681959429732</v>
      </c>
      <c r="V39" s="17">
        <v>8862.043</v>
      </c>
      <c r="W39" s="17">
        <v>9339.185</v>
      </c>
      <c r="X39" s="17">
        <f>9868.439</f>
        <v>9868.439</v>
      </c>
      <c r="Y39" s="17">
        <v>9643.738</v>
      </c>
      <c r="Z39" s="121">
        <v>8845.617</v>
      </c>
      <c r="AA39" s="187">
        <v>8866.601</v>
      </c>
      <c r="AB39" s="121">
        <v>9793.74</v>
      </c>
      <c r="AC39" s="52">
        <f t="shared" si="27"/>
        <v>927.1389999999992</v>
      </c>
      <c r="AD39" s="109">
        <f aca="true" t="shared" si="40" ref="AD39:AD45">IF(AA39=0,0,AC39/AA39)</f>
        <v>0.104565323284537</v>
      </c>
      <c r="AE39" s="17">
        <v>7798.52</v>
      </c>
      <c r="AF39" s="121">
        <v>8244.118</v>
      </c>
      <c r="AG39" s="121">
        <v>8315.78</v>
      </c>
      <c r="AH39" s="121">
        <f>8803.504+275.185+189.877</f>
        <v>9268.566</v>
      </c>
      <c r="AI39" s="121">
        <f>7662.927</f>
        <v>7662.927</v>
      </c>
      <c r="AJ39" s="187">
        <v>8705.846</v>
      </c>
      <c r="AK39" s="121">
        <v>8201.056</v>
      </c>
      <c r="AL39" s="152">
        <f t="shared" si="28"/>
        <v>-504.78999999999905</v>
      </c>
      <c r="AM39" s="109">
        <f aca="true" t="shared" si="41" ref="AM39:AM45">IF(AJ39=0,0,AL39/AJ39)</f>
        <v>-0.05798287725282518</v>
      </c>
      <c r="AN39" s="17">
        <v>7669.428</v>
      </c>
      <c r="AO39" s="17">
        <v>7894.465</v>
      </c>
      <c r="AP39" s="17">
        <v>7631.982</v>
      </c>
      <c r="AQ39" s="121">
        <f>8016.129</f>
        <v>8016.129</v>
      </c>
      <c r="AR39" s="121">
        <f>7089.156</f>
        <v>7089.156</v>
      </c>
      <c r="AS39" s="187">
        <v>7998.028</v>
      </c>
      <c r="AT39" s="121">
        <v>7750.106</v>
      </c>
      <c r="AU39" s="52">
        <f t="shared" si="29"/>
        <v>-247.92200000000048</v>
      </c>
      <c r="AV39" s="109">
        <f aca="true" t="shared" si="42" ref="AV39:AV45">IF(AS39=0,0,AU39/AS39)</f>
        <v>-0.03099789098012666</v>
      </c>
      <c r="AW39" s="17">
        <f>7534.252</f>
        <v>7534.252</v>
      </c>
      <c r="AX39" s="17">
        <v>7646.314</v>
      </c>
      <c r="AY39" s="121">
        <f>7733.894</f>
        <v>7733.894</v>
      </c>
      <c r="AZ39" s="121">
        <f>6921.666</f>
        <v>6921.666</v>
      </c>
      <c r="BA39" s="159">
        <v>7718.683</v>
      </c>
      <c r="BB39" s="121">
        <v>8150.788</v>
      </c>
      <c r="BC39" s="52">
        <f t="shared" si="30"/>
        <v>432.10499999999956</v>
      </c>
      <c r="BD39" s="109">
        <f aca="true" t="shared" si="43" ref="BD39:BD45">IF(BA39=0,0,BC39/BA39)</f>
        <v>0.05598170050512498</v>
      </c>
      <c r="BE39" s="17">
        <v>7969.906</v>
      </c>
      <c r="BF39" s="17">
        <v>8403.052</v>
      </c>
      <c r="BG39" s="17">
        <v>8054.259</v>
      </c>
      <c r="BH39" s="121">
        <v>8134.896</v>
      </c>
      <c r="BI39" s="187">
        <v>7959.47</v>
      </c>
      <c r="BJ39" s="121">
        <v>8835.399</v>
      </c>
      <c r="BK39" s="52">
        <f t="shared" si="31"/>
        <v>875.9289999999992</v>
      </c>
      <c r="BL39" s="109">
        <f aca="true" t="shared" si="44" ref="BL39:BL45">IF(BI39=0,0,BK39/BI39)</f>
        <v>0.11004865901875366</v>
      </c>
      <c r="BM39" s="17">
        <v>8030.274</v>
      </c>
      <c r="BN39" s="17">
        <v>7961.278</v>
      </c>
      <c r="BO39" s="17">
        <f>7880.336</f>
        <v>7880.336</v>
      </c>
      <c r="BP39" s="121">
        <v>7645.226</v>
      </c>
      <c r="BQ39" s="187">
        <v>7813.33</v>
      </c>
      <c r="BR39" s="121">
        <v>8954.707</v>
      </c>
      <c r="BS39" s="52">
        <f t="shared" si="32"/>
        <v>1141.3770000000004</v>
      </c>
      <c r="BT39" s="109">
        <f aca="true" t="shared" si="45" ref="BT39:BT45">IF(BQ39=0,0,BS39/BQ39)</f>
        <v>0.14608073638256677</v>
      </c>
      <c r="BU39" s="17">
        <v>7456.603</v>
      </c>
      <c r="BV39" s="121">
        <v>7313.969</v>
      </c>
      <c r="BW39" s="121">
        <v>8195.785</v>
      </c>
      <c r="BX39" s="121">
        <v>7721.505</v>
      </c>
      <c r="BY39" s="187">
        <v>8097.092</v>
      </c>
      <c r="BZ39" s="121">
        <v>8560.958</v>
      </c>
      <c r="CA39" s="52">
        <f t="shared" si="33"/>
        <v>463.8660000000009</v>
      </c>
      <c r="CB39" s="109">
        <f aca="true" t="shared" si="46" ref="CB39:CB45">IF(BY39=0,0,CA39/BY39)</f>
        <v>0.05728797449751107</v>
      </c>
      <c r="CC39" s="17">
        <v>9529.642</v>
      </c>
      <c r="CD39" s="17">
        <v>8524.01</v>
      </c>
      <c r="CE39" s="141">
        <v>8671.973</v>
      </c>
      <c r="CF39" s="121">
        <v>8563.839</v>
      </c>
      <c r="CG39" s="187">
        <v>8600.951</v>
      </c>
      <c r="CH39" s="121">
        <v>7991.569</v>
      </c>
      <c r="CI39" s="52">
        <f t="shared" si="34"/>
        <v>-609.3819999999987</v>
      </c>
      <c r="CJ39" s="109">
        <f aca="true" t="shared" si="47" ref="CJ39:CJ45">IF(CG39=0,0,CI39/CG39)</f>
        <v>-0.07085053734174265</v>
      </c>
      <c r="CK39" s="17">
        <f>9266.255</f>
        <v>9266.255</v>
      </c>
      <c r="CL39" s="17">
        <v>9304.527</v>
      </c>
      <c r="CM39" s="121">
        <v>9398.864</v>
      </c>
      <c r="CN39" s="186">
        <v>9271.994</v>
      </c>
      <c r="CO39" s="187">
        <v>9319.781</v>
      </c>
      <c r="CP39" s="121">
        <v>9177.856</v>
      </c>
      <c r="CQ39" s="52">
        <f t="shared" si="35"/>
        <v>-141.9250000000011</v>
      </c>
      <c r="CR39" s="109">
        <f aca="true" t="shared" si="48" ref="CR39:CR45">IF(CO39=0,0,CQ39/CO39)</f>
        <v>-0.015228362125676674</v>
      </c>
      <c r="CS39" s="17">
        <f>10151.804</f>
        <v>10151.804</v>
      </c>
      <c r="CT39" s="17">
        <f>9973.219</f>
        <v>9973.219</v>
      </c>
      <c r="CU39" s="121">
        <f>9991.55-1.117</f>
        <v>9990.432999999999</v>
      </c>
      <c r="CV39" s="121">
        <v>10192.921</v>
      </c>
      <c r="CW39" s="187">
        <v>9943.038</v>
      </c>
      <c r="CX39" s="121">
        <v>10199.312</v>
      </c>
      <c r="CY39" s="120">
        <f t="shared" si="36"/>
        <v>256.27399999999943</v>
      </c>
      <c r="CZ39" s="109">
        <f aca="true" t="shared" si="49" ref="CZ39:CZ45">IF(CW39=0,0,CY39/CW39)</f>
        <v>0.025774215083961202</v>
      </c>
      <c r="DA39" s="145">
        <v>100514.332</v>
      </c>
      <c r="DB39" s="84">
        <f>I39+R39+AA39+AJ39+AS39+BA39+BI39+BQ39+BY39+CG39+CO39+CW39</f>
        <v>103477.11200000001</v>
      </c>
      <c r="DC39" s="106" t="e">
        <f>IF(#REF!&gt;=1,J39,I39)+IF(#REF!&gt;=2,S39,R39)+IF(#REF!&gt;=3,AB39,AA39)+IF(#REF!&gt;=4,AK39,AJ39)+IF(#REF!&gt;=5,AT39,AS39)+IF(#REF!&gt;=6,BB39,BA39)+IF(#REF!&gt;=7,BJ39,BI39)+IF(#REF!&gt;=8,BR39,BQ39)+IF(#REF!&gt;=9,BZ39,BY39)+IF(#REF!&gt;=10,CH39,CG39)+IF(#REF!&gt;=11,CP39,CO39)+IF(#REF!&gt;=12,CX39,CW39)</f>
        <v>#REF!</v>
      </c>
      <c r="DD39" s="52" t="e">
        <f t="shared" si="37"/>
        <v>#REF!</v>
      </c>
      <c r="DE39" s="113" t="e">
        <f aca="true" t="shared" si="50" ref="DE39:DE44">IF(DB39=0,0,DD39/DB39)</f>
        <v>#REF!</v>
      </c>
    </row>
    <row r="40" spans="1:109" ht="15.75">
      <c r="A40" s="98">
        <v>15</v>
      </c>
      <c r="B40" s="28" t="s">
        <v>69</v>
      </c>
      <c r="C40" s="10" t="s">
        <v>36</v>
      </c>
      <c r="D40" s="52">
        <f aca="true" t="shared" si="51" ref="D40:J40">D38-D39</f>
        <v>54915.2736</v>
      </c>
      <c r="E40" s="52">
        <f t="shared" si="51"/>
        <v>52464.271</v>
      </c>
      <c r="F40" s="52">
        <f t="shared" si="51"/>
        <v>52357.587</v>
      </c>
      <c r="G40" s="52">
        <f t="shared" si="51"/>
        <v>51168.773</v>
      </c>
      <c r="H40" s="120">
        <f t="shared" si="51"/>
        <v>48080.227</v>
      </c>
      <c r="I40" s="52">
        <f t="shared" si="51"/>
        <v>49971.100999999995</v>
      </c>
      <c r="J40" s="120">
        <f t="shared" si="51"/>
        <v>51863.499</v>
      </c>
      <c r="K40" s="52">
        <f t="shared" si="0"/>
        <v>1892.3980000000083</v>
      </c>
      <c r="L40" s="109">
        <f t="shared" si="38"/>
        <v>0.037869848014755736</v>
      </c>
      <c r="M40" s="52">
        <f aca="true" t="shared" si="52" ref="M40:S40">M38-M39</f>
        <v>47594.284</v>
      </c>
      <c r="N40" s="52">
        <f t="shared" si="52"/>
        <v>46626.638999999996</v>
      </c>
      <c r="O40" s="52">
        <f t="shared" si="52"/>
        <v>47654.364</v>
      </c>
      <c r="P40" s="52">
        <f t="shared" si="52"/>
        <v>45345.95999999999</v>
      </c>
      <c r="Q40" s="120">
        <f t="shared" si="52"/>
        <v>45131.058</v>
      </c>
      <c r="R40" s="52">
        <f t="shared" si="52"/>
        <v>46560.17599999999</v>
      </c>
      <c r="S40" s="120">
        <f t="shared" si="52"/>
        <v>48864.990000000005</v>
      </c>
      <c r="T40" s="52">
        <f t="shared" si="26"/>
        <v>2304.814000000013</v>
      </c>
      <c r="U40" s="109">
        <f t="shared" si="39"/>
        <v>0.049501831780017616</v>
      </c>
      <c r="V40" s="52">
        <f aca="true" t="shared" si="53" ref="V40:AB40">V38-V39</f>
        <v>48589.345</v>
      </c>
      <c r="W40" s="52">
        <f t="shared" si="53"/>
        <v>48093.598000000005</v>
      </c>
      <c r="X40" s="52">
        <f t="shared" si="53"/>
        <v>50048.68000000001</v>
      </c>
      <c r="Y40" s="52">
        <f t="shared" si="53"/>
        <v>46619.602</v>
      </c>
      <c r="Z40" s="120">
        <f t="shared" si="53"/>
        <v>44496.945</v>
      </c>
      <c r="AA40" s="52">
        <f t="shared" si="53"/>
        <v>46607.814</v>
      </c>
      <c r="AB40" s="120">
        <f t="shared" si="53"/>
        <v>48369.555</v>
      </c>
      <c r="AC40" s="52">
        <f t="shared" si="27"/>
        <v>1761.7410000000018</v>
      </c>
      <c r="AD40" s="109">
        <f t="shared" si="40"/>
        <v>0.03779926258717051</v>
      </c>
      <c r="AE40" s="52">
        <f aca="true" t="shared" si="54" ref="AE40:AK40">AE38-AE39</f>
        <v>42510.236999999994</v>
      </c>
      <c r="AF40" s="120">
        <f t="shared" si="54"/>
        <v>42865.04899999999</v>
      </c>
      <c r="AG40" s="120">
        <f t="shared" si="54"/>
        <v>43026.977</v>
      </c>
      <c r="AH40" s="120">
        <f t="shared" si="54"/>
        <v>40212.136</v>
      </c>
      <c r="AI40" s="120">
        <f t="shared" si="54"/>
        <v>38622.728</v>
      </c>
      <c r="AJ40" s="120">
        <f t="shared" si="54"/>
        <v>41645.716</v>
      </c>
      <c r="AK40" s="120">
        <f t="shared" si="54"/>
        <v>41929.345</v>
      </c>
      <c r="AL40" s="152">
        <f t="shared" si="28"/>
        <v>283.6290000000008</v>
      </c>
      <c r="AM40" s="109">
        <f t="shared" si="41"/>
        <v>0.006810520438644897</v>
      </c>
      <c r="AN40" s="52">
        <f aca="true" t="shared" si="55" ref="AN40:AT40">AN38-AN39</f>
        <v>39468.829</v>
      </c>
      <c r="AO40" s="52">
        <f t="shared" si="55"/>
        <v>39006.485</v>
      </c>
      <c r="AP40" s="52">
        <f t="shared" si="55"/>
        <v>38000.803</v>
      </c>
      <c r="AQ40" s="120">
        <f t="shared" si="55"/>
        <v>38156.277</v>
      </c>
      <c r="AR40" s="120">
        <f t="shared" si="55"/>
        <v>35624.886999999995</v>
      </c>
      <c r="AS40" s="158">
        <f t="shared" si="55"/>
        <v>39011.166000000005</v>
      </c>
      <c r="AT40" s="120">
        <f t="shared" si="55"/>
        <v>38832.71400000001</v>
      </c>
      <c r="AU40" s="52">
        <f t="shared" si="29"/>
        <v>-178.4519999999975</v>
      </c>
      <c r="AV40" s="109">
        <f t="shared" si="42"/>
        <v>-0.004574382626758643</v>
      </c>
      <c r="AW40" s="52">
        <f aca="true" t="shared" si="56" ref="AW40:BB40">AW38-AW39</f>
        <v>36690.727</v>
      </c>
      <c r="AX40" s="52">
        <f t="shared" si="56"/>
        <v>38258.40700000001</v>
      </c>
      <c r="AY40" s="120">
        <f t="shared" si="56"/>
        <v>37485.86</v>
      </c>
      <c r="AZ40" s="120">
        <f t="shared" si="56"/>
        <v>34430.322</v>
      </c>
      <c r="BA40" s="52">
        <f t="shared" si="56"/>
        <v>38137.533</v>
      </c>
      <c r="BB40" s="120">
        <f t="shared" si="56"/>
        <v>40358.893</v>
      </c>
      <c r="BC40" s="52">
        <f t="shared" si="30"/>
        <v>2221.3599999999933</v>
      </c>
      <c r="BD40" s="109">
        <f t="shared" si="43"/>
        <v>0.05824603285167903</v>
      </c>
      <c r="BE40" s="52">
        <f aca="true" t="shared" si="57" ref="BE40:BJ40">BE38-BE39</f>
        <v>38962.49999999999</v>
      </c>
      <c r="BF40" s="52">
        <f t="shared" si="57"/>
        <v>42166.272</v>
      </c>
      <c r="BG40" s="52">
        <f t="shared" si="57"/>
        <v>38158.821</v>
      </c>
      <c r="BH40" s="120">
        <f t="shared" si="57"/>
        <v>41070.548</v>
      </c>
      <c r="BI40" s="52">
        <f t="shared" si="57"/>
        <v>40087.185</v>
      </c>
      <c r="BJ40" s="120">
        <f t="shared" si="57"/>
        <v>42104.678</v>
      </c>
      <c r="BK40" s="52">
        <f t="shared" si="31"/>
        <v>2017.4930000000022</v>
      </c>
      <c r="BL40" s="109">
        <f t="shared" si="44"/>
        <v>0.05032762964024544</v>
      </c>
      <c r="BM40" s="52">
        <f aca="true" t="shared" si="58" ref="BM40:BR40">BM38-BM39</f>
        <v>39742.95100000001</v>
      </c>
      <c r="BN40" s="52">
        <f t="shared" si="58"/>
        <v>39750.004</v>
      </c>
      <c r="BO40" s="52">
        <f t="shared" si="58"/>
        <v>38187.751000000004</v>
      </c>
      <c r="BP40" s="120">
        <f t="shared" si="58"/>
        <v>37694.481</v>
      </c>
      <c r="BQ40" s="52">
        <f t="shared" si="58"/>
        <v>38633.312</v>
      </c>
      <c r="BR40" s="120">
        <f t="shared" si="58"/>
        <v>44602.62500000001</v>
      </c>
      <c r="BS40" s="52">
        <f t="shared" si="32"/>
        <v>5969.313000000009</v>
      </c>
      <c r="BT40" s="109">
        <f t="shared" si="45"/>
        <v>0.154512069790962</v>
      </c>
      <c r="BU40" s="52">
        <f aca="true" t="shared" si="59" ref="BU40:BZ40">BU38-BU39</f>
        <v>40274.685</v>
      </c>
      <c r="BV40" s="120">
        <f t="shared" si="59"/>
        <v>38211.367</v>
      </c>
      <c r="BW40" s="120">
        <f t="shared" si="59"/>
        <v>40278.295</v>
      </c>
      <c r="BX40" s="120">
        <f t="shared" si="59"/>
        <v>38794.924000000006</v>
      </c>
      <c r="BY40" s="52">
        <f t="shared" si="59"/>
        <v>38788.866</v>
      </c>
      <c r="BZ40" s="120">
        <f t="shared" si="59"/>
        <v>40591.14200000001</v>
      </c>
      <c r="CA40" s="52">
        <f t="shared" si="33"/>
        <v>1802.2760000000053</v>
      </c>
      <c r="CB40" s="109">
        <f t="shared" si="46"/>
        <v>0.046463745550076284</v>
      </c>
      <c r="CC40" s="52">
        <f aca="true" t="shared" si="60" ref="CC40:CH40">CC38-CC39</f>
        <v>46083.04</v>
      </c>
      <c r="CD40" s="52">
        <f t="shared" si="60"/>
        <v>45091.377</v>
      </c>
      <c r="CE40" s="152">
        <f t="shared" si="60"/>
        <v>43541.006</v>
      </c>
      <c r="CF40" s="120">
        <f t="shared" si="60"/>
        <v>41564.002</v>
      </c>
      <c r="CG40" s="52">
        <f t="shared" si="60"/>
        <v>43808.371</v>
      </c>
      <c r="CH40" s="120">
        <f t="shared" si="60"/>
        <v>44263.48099999999</v>
      </c>
      <c r="CI40" s="52">
        <f t="shared" si="34"/>
        <v>455.1099999999933</v>
      </c>
      <c r="CJ40" s="109">
        <f t="shared" si="47"/>
        <v>0.010388653803173675</v>
      </c>
      <c r="CK40" s="52">
        <f aca="true" t="shared" si="61" ref="CK40:CP40">CK38-CK39</f>
        <v>46502.40700000001</v>
      </c>
      <c r="CL40" s="52">
        <f t="shared" si="61"/>
        <v>47864.988</v>
      </c>
      <c r="CM40" s="52">
        <f t="shared" si="61"/>
        <v>46536.712999999996</v>
      </c>
      <c r="CN40" s="198">
        <f t="shared" si="61"/>
        <v>46850.352</v>
      </c>
      <c r="CO40" s="120">
        <f t="shared" si="61"/>
        <v>46460.964</v>
      </c>
      <c r="CP40" s="120">
        <f t="shared" si="61"/>
        <v>46437.598999999995</v>
      </c>
      <c r="CQ40" s="52">
        <f t="shared" si="35"/>
        <v>-23.36500000000524</v>
      </c>
      <c r="CR40" s="109">
        <f t="shared" si="48"/>
        <v>-0.0005028952907650655</v>
      </c>
      <c r="CS40" s="52">
        <f aca="true" t="shared" si="62" ref="CS40:CX40">CS38-CS39</f>
        <v>52236.36</v>
      </c>
      <c r="CT40" s="52">
        <f t="shared" si="62"/>
        <v>52410.112</v>
      </c>
      <c r="CU40" s="52">
        <f t="shared" si="62"/>
        <v>50614.403</v>
      </c>
      <c r="CV40" s="120">
        <f t="shared" si="62"/>
        <v>53269.293</v>
      </c>
      <c r="CW40" s="52">
        <f t="shared" si="62"/>
        <v>51081.796</v>
      </c>
      <c r="CX40" s="120">
        <f t="shared" si="62"/>
        <v>52485.722</v>
      </c>
      <c r="CY40" s="120">
        <f t="shared" si="36"/>
        <v>1403.9259999999995</v>
      </c>
      <c r="CZ40" s="109">
        <f t="shared" si="49"/>
        <v>0.027483880950466177</v>
      </c>
      <c r="DA40" s="120">
        <v>534398.835</v>
      </c>
      <c r="DB40" s="84">
        <f>DB38-DB39</f>
        <v>520794.00000000006</v>
      </c>
      <c r="DC40" s="52" t="e">
        <f>DC38-DC39</f>
        <v>#REF!</v>
      </c>
      <c r="DD40" s="52" t="e">
        <f t="shared" si="37"/>
        <v>#REF!</v>
      </c>
      <c r="DE40" s="113" t="e">
        <f t="shared" si="50"/>
        <v>#REF!</v>
      </c>
    </row>
    <row r="41" spans="1:109" ht="15.75">
      <c r="A41" s="98" t="s">
        <v>70</v>
      </c>
      <c r="B41" s="12" t="s">
        <v>27</v>
      </c>
      <c r="C41" s="10" t="s">
        <v>36</v>
      </c>
      <c r="D41" s="17">
        <v>51137.0906</v>
      </c>
      <c r="E41" s="17">
        <f>50563.209-1828.552</f>
        <v>48734.657</v>
      </c>
      <c r="F41" s="17">
        <f>48038.993-2173.348</f>
        <v>45865.645000000004</v>
      </c>
      <c r="G41" s="17">
        <f>47408.775-2151.968</f>
        <v>45256.807</v>
      </c>
      <c r="H41" s="121">
        <f>44185.47-1988.036</f>
        <v>42197.434</v>
      </c>
      <c r="I41" s="188">
        <f>43290.369+714+72</f>
        <v>44076.369</v>
      </c>
      <c r="J41" s="121">
        <f>49291.309-2247.36</f>
        <v>47043.949</v>
      </c>
      <c r="K41" s="52">
        <f t="shared" si="0"/>
        <v>2967.5800000000017</v>
      </c>
      <c r="L41" s="109">
        <f t="shared" si="38"/>
        <v>0.06732814129947959</v>
      </c>
      <c r="M41" s="17">
        <f>45783.748-1754.48</f>
        <v>44029.268</v>
      </c>
      <c r="N41" s="17">
        <f>44812.915-1723.276</f>
        <v>43089.639</v>
      </c>
      <c r="O41" s="17">
        <f>43682.638-2080.052</f>
        <v>41602.585999999996</v>
      </c>
      <c r="P41" s="17">
        <f>42183.854-2161.092</f>
        <v>40022.762</v>
      </c>
      <c r="Q41" s="121">
        <f>41314.4-1998.08</f>
        <v>39316.32</v>
      </c>
      <c r="R41" s="188">
        <f>39985.675+714+72</f>
        <v>40771.675</v>
      </c>
      <c r="S41" s="121">
        <f>46099.809-2200.212</f>
        <v>43899.597</v>
      </c>
      <c r="T41" s="52">
        <f t="shared" si="26"/>
        <v>3127.9219999999987</v>
      </c>
      <c r="U41" s="109">
        <f t="shared" si="39"/>
        <v>0.07671801563217598</v>
      </c>
      <c r="V41" s="17">
        <f>46295.422-1778.68</f>
        <v>44516.742</v>
      </c>
      <c r="W41" s="17">
        <f>46048.348-1864.82</f>
        <v>44183.528</v>
      </c>
      <c r="X41" s="17">
        <f>46351.981-2128.676</f>
        <v>44223.305</v>
      </c>
      <c r="Y41" s="17">
        <f>43720.823-2192.592</f>
        <v>41528.231</v>
      </c>
      <c r="Z41" s="121">
        <f>40917.663-2015.732</f>
        <v>38901.931</v>
      </c>
      <c r="AA41" s="188">
        <f>40253.512+714+72</f>
        <v>41039.512</v>
      </c>
      <c r="AB41" s="121">
        <f>45614.508-2228.16</f>
        <v>43386.348</v>
      </c>
      <c r="AC41" s="52">
        <f t="shared" si="27"/>
        <v>2346.8359999999957</v>
      </c>
      <c r="AD41" s="109">
        <f t="shared" si="40"/>
        <v>0.05718479303555061</v>
      </c>
      <c r="AE41" s="17">
        <f>40320.865-1710.696</f>
        <v>38610.168999999994</v>
      </c>
      <c r="AF41" s="121">
        <f>40706.631-1681.092</f>
        <v>39025.539000000004</v>
      </c>
      <c r="AG41" s="121">
        <f>40025.641-1818.268</f>
        <v>38207.37300000001</v>
      </c>
      <c r="AH41" s="121">
        <f>38044.908-2086.716</f>
        <v>35958.192</v>
      </c>
      <c r="AI41" s="121">
        <f>35683.401-1754.612</f>
        <v>33928.789</v>
      </c>
      <c r="AJ41" s="188">
        <f>35822.487+714+72</f>
        <v>36608.487</v>
      </c>
      <c r="AK41" s="121">
        <f>39117.321-1998.184</f>
        <v>37119.137</v>
      </c>
      <c r="AL41" s="152">
        <f t="shared" si="28"/>
        <v>510.65000000000146</v>
      </c>
      <c r="AM41" s="109">
        <f t="shared" si="41"/>
        <v>0.013948951236362252</v>
      </c>
      <c r="AN41" s="17">
        <f>37915.561-1525.616</f>
        <v>36389.945</v>
      </c>
      <c r="AO41" s="17">
        <f>37499.737-1561.048</f>
        <v>35938.689</v>
      </c>
      <c r="AP41" s="17">
        <f>35408.17-1613.284</f>
        <v>33794.886</v>
      </c>
      <c r="AQ41" s="121">
        <f>35345.045-1903.936</f>
        <v>33441.109</v>
      </c>
      <c r="AR41" s="121">
        <f>32453.041-1627.652</f>
        <v>30825.389000000003</v>
      </c>
      <c r="AS41" s="188">
        <f>33216.71+714+72</f>
        <v>34002.71</v>
      </c>
      <c r="AT41" s="121">
        <f>35614.655-1836.732</f>
        <v>33777.922999999995</v>
      </c>
      <c r="AU41" s="52">
        <f t="shared" si="29"/>
        <v>-224.7870000000039</v>
      </c>
      <c r="AV41" s="109">
        <f t="shared" si="42"/>
        <v>-0.006610855428876225</v>
      </c>
      <c r="AW41" s="17">
        <f>34384.596-1536.62</f>
        <v>32847.975999999995</v>
      </c>
      <c r="AX41" s="17">
        <f>35572.314-1525.808</f>
        <v>34046.506</v>
      </c>
      <c r="AY41" s="121">
        <f>34497.899-1810.924</f>
        <v>32686.975</v>
      </c>
      <c r="AZ41" s="121">
        <f>30088.572-1738.036</f>
        <v>28350.536</v>
      </c>
      <c r="BA41" s="159">
        <f>33187.437+714+72</f>
        <v>33973.437</v>
      </c>
      <c r="BB41" s="121">
        <f>36981.174-1941.928</f>
        <v>35039.246</v>
      </c>
      <c r="BC41" s="52">
        <f t="shared" si="30"/>
        <v>1065.809000000001</v>
      </c>
      <c r="BD41" s="109">
        <f t="shared" si="43"/>
        <v>0.03137183323547751</v>
      </c>
      <c r="BE41" s="17">
        <f>36380.675-1617.992</f>
        <v>34762.683000000005</v>
      </c>
      <c r="BF41" s="17">
        <f>39443.368-1665.292</f>
        <v>37778.076</v>
      </c>
      <c r="BG41" s="17">
        <f>35399.246-1773.924</f>
        <v>33625.322</v>
      </c>
      <c r="BH41" s="162">
        <f>36262.621-1834.992</f>
        <v>34427.629</v>
      </c>
      <c r="BI41" s="188">
        <f>34669.894+714+72</f>
        <v>35455.894</v>
      </c>
      <c r="BJ41" s="121">
        <f>38535.64-2260.668</f>
        <v>36274.972</v>
      </c>
      <c r="BK41" s="52">
        <f t="shared" si="31"/>
        <v>819.0780000000013</v>
      </c>
      <c r="BL41" s="109">
        <f t="shared" si="44"/>
        <v>0.023101321320511656</v>
      </c>
      <c r="BM41" s="17">
        <f>37146.661-1608.595</f>
        <v>35538.066</v>
      </c>
      <c r="BN41" s="17">
        <f>37029.712-1630.808</f>
        <v>35398.904</v>
      </c>
      <c r="BO41" s="17">
        <f>35371.72-1737.312</f>
        <v>33634.408</v>
      </c>
      <c r="BP41" s="121">
        <f>33394.49-1720.256</f>
        <v>31674.233999999997</v>
      </c>
      <c r="BQ41" s="188">
        <f>33239.607+714+72</f>
        <v>34025.607</v>
      </c>
      <c r="BR41" s="121">
        <f>40659.281-2346.412</f>
        <v>38312.869000000006</v>
      </c>
      <c r="BS41" s="52">
        <f t="shared" si="32"/>
        <v>4287.262000000002</v>
      </c>
      <c r="BT41" s="109">
        <f t="shared" si="45"/>
        <v>0.12600104386087813</v>
      </c>
      <c r="BU41" s="17">
        <f>37378.609-1657.62</f>
        <v>35720.988999999994</v>
      </c>
      <c r="BV41" s="121">
        <f>35675.034-1597.112</f>
        <v>34077.922</v>
      </c>
      <c r="BW41" s="121">
        <f>37607.575-1886.68</f>
        <v>35720.895</v>
      </c>
      <c r="BX41" s="121">
        <f>34516.001-1873.956</f>
        <v>32642.045</v>
      </c>
      <c r="BY41" s="188">
        <f>33340.234+714+72</f>
        <v>34126.234</v>
      </c>
      <c r="BZ41" s="121">
        <f>37391.379-2077.544</f>
        <v>35313.835</v>
      </c>
      <c r="CA41" s="52">
        <f t="shared" si="33"/>
        <v>1187.6010000000024</v>
      </c>
      <c r="CB41" s="109">
        <f t="shared" si="46"/>
        <v>0.034800236088166146</v>
      </c>
      <c r="CC41" s="17">
        <f>43716.147-1998.052</f>
        <v>41718.094999999994</v>
      </c>
      <c r="CD41" s="17">
        <f>42292.14-1924.544</f>
        <v>40367.596</v>
      </c>
      <c r="CE41" s="141">
        <f>40769.513-2051.016</f>
        <v>38718.496999999996</v>
      </c>
      <c r="CF41" s="186">
        <f>39008.985-2073.512-1220</f>
        <v>35715.473</v>
      </c>
      <c r="CG41" s="188">
        <f>38118.714+714+72</f>
        <v>38904.714</v>
      </c>
      <c r="CH41" s="186">
        <f>39985.944-2196.192</f>
        <v>37789.752</v>
      </c>
      <c r="CI41" s="52">
        <f t="shared" si="34"/>
        <v>-1114.9619999999995</v>
      </c>
      <c r="CJ41" s="109">
        <f t="shared" si="47"/>
        <v>-0.028658789266514068</v>
      </c>
      <c r="CK41" s="17">
        <f>43806.028-2011.152</f>
        <v>41794.876</v>
      </c>
      <c r="CL41" s="17">
        <f>44663.754-2113.284</f>
        <v>42550.47</v>
      </c>
      <c r="CM41" s="121">
        <f>42934.176-2126.824</f>
        <v>40807.352</v>
      </c>
      <c r="CN41" s="186">
        <f>42011.013-2236.112+746.2</f>
        <v>40521.100999999995</v>
      </c>
      <c r="CO41" s="188">
        <f>39866.52+714+72</f>
        <v>40652.52</v>
      </c>
      <c r="CP41" s="186">
        <f>42661.387-2364.48</f>
        <v>40296.907</v>
      </c>
      <c r="CQ41" s="52">
        <f t="shared" si="35"/>
        <v>-355.61299999999756</v>
      </c>
      <c r="CR41" s="109">
        <f t="shared" si="48"/>
        <v>-0.008747624993481279</v>
      </c>
      <c r="CS41" s="17">
        <f>48338.451-2300.844</f>
        <v>46037.607</v>
      </c>
      <c r="CT41" s="17">
        <f>48320.106-2272.392</f>
        <v>46047.714</v>
      </c>
      <c r="CU41" s="121">
        <f>46282.288-2278.868</f>
        <v>44003.42</v>
      </c>
      <c r="CV41" s="121">
        <f>45532.441-2469.204+473.8</f>
        <v>43537.037000000004</v>
      </c>
      <c r="CW41" s="188">
        <f>43648.887+714+0.531+60</f>
        <v>44423.418000000005</v>
      </c>
      <c r="CX41" s="121">
        <f>49967.503-2628.282+338.362+326.748+235.768</f>
        <v>48240.098999999995</v>
      </c>
      <c r="CY41" s="120">
        <f t="shared" si="36"/>
        <v>3816.6809999999896</v>
      </c>
      <c r="CZ41" s="109">
        <f t="shared" si="49"/>
        <v>0.08591596891531375</v>
      </c>
      <c r="DA41" s="142">
        <v>481737.269</v>
      </c>
      <c r="DB41" s="84">
        <f aca="true" t="shared" si="63" ref="DB41:DB46">I41+R41+AA41+AJ41+AS41+BA41+BI41+BQ41+BY41+CG41+CO41+CW41</f>
        <v>458060.57700000005</v>
      </c>
      <c r="DC41" s="106" t="e">
        <f>IF(#REF!&gt;=1,J41,I41)+IF(#REF!&gt;=2,S41,R41)+IF(#REF!&gt;=3,AB41,AA41)+IF(#REF!&gt;=4,AK41,AJ41)+IF(#REF!&gt;=5,AT41,AS41)+IF(#REF!&gt;=6,BB41,BA41)+IF(#REF!&gt;=7,BJ41,BI41)+IF(#REF!&gt;=8,BR41,BQ41)+IF(#REF!&gt;=9,BZ41,BY41)+IF(#REF!&gt;=10,CH41,CG41)+IF(#REF!&gt;=11,CP41,CO41)+IF(#REF!&gt;=12,CX41,CW41)</f>
        <v>#REF!</v>
      </c>
      <c r="DD41" s="52" t="e">
        <f t="shared" si="37"/>
        <v>#REF!</v>
      </c>
      <c r="DE41" s="113" t="e">
        <f t="shared" si="50"/>
        <v>#REF!</v>
      </c>
    </row>
    <row r="42" spans="1:109" ht="15.75">
      <c r="A42" s="98" t="s">
        <v>71</v>
      </c>
      <c r="B42" s="12" t="s">
        <v>29</v>
      </c>
      <c r="C42" s="10" t="s">
        <v>36</v>
      </c>
      <c r="D42" s="17">
        <v>2907.048</v>
      </c>
      <c r="E42" s="17">
        <v>2872.137</v>
      </c>
      <c r="F42" s="17">
        <v>2773.613</v>
      </c>
      <c r="G42" s="17">
        <f>2858.703</f>
        <v>2858.703</v>
      </c>
      <c r="H42" s="121">
        <v>2481.893</v>
      </c>
      <c r="I42" s="188">
        <v>2481.893</v>
      </c>
      <c r="J42" s="121">
        <v>2992.44</v>
      </c>
      <c r="K42" s="52">
        <f t="shared" si="0"/>
        <v>510.547</v>
      </c>
      <c r="L42" s="109">
        <f t="shared" si="38"/>
        <v>0.20570870702322785</v>
      </c>
      <c r="M42" s="17">
        <v>2821.291</v>
      </c>
      <c r="N42" s="17">
        <v>2501.237</v>
      </c>
      <c r="O42" s="17">
        <v>2514.792</v>
      </c>
      <c r="P42" s="17">
        <v>2370.13</v>
      </c>
      <c r="Q42" s="121">
        <v>2249.285</v>
      </c>
      <c r="R42" s="188">
        <v>2249.285</v>
      </c>
      <c r="S42" s="121">
        <v>2773.248</v>
      </c>
      <c r="T42" s="52">
        <f t="shared" si="26"/>
        <v>523.9630000000002</v>
      </c>
      <c r="U42" s="109">
        <f t="shared" si="39"/>
        <v>0.23294646965591298</v>
      </c>
      <c r="V42" s="17">
        <f>3009.788</f>
        <v>3009.788</v>
      </c>
      <c r="W42" s="17">
        <f>2241.446</f>
        <v>2241.446</v>
      </c>
      <c r="X42" s="17">
        <f>2659.8</f>
        <v>2659.8</v>
      </c>
      <c r="Y42" s="17">
        <f>2261.774</f>
        <v>2261.774</v>
      </c>
      <c r="Z42" s="121">
        <v>2086.641</v>
      </c>
      <c r="AA42" s="188">
        <v>2086.641</v>
      </c>
      <c r="AB42" s="121">
        <v>2615.664</v>
      </c>
      <c r="AC42" s="52">
        <f t="shared" si="27"/>
        <v>529.0230000000001</v>
      </c>
      <c r="AD42" s="109">
        <f t="shared" si="40"/>
        <v>0.2535285178427914</v>
      </c>
      <c r="AE42" s="17">
        <f>2474.803</f>
        <v>2474.803</v>
      </c>
      <c r="AF42" s="121">
        <v>1948.253</v>
      </c>
      <c r="AG42" s="121">
        <v>1964.851</v>
      </c>
      <c r="AH42" s="121">
        <v>1801.732</v>
      </c>
      <c r="AI42" s="121">
        <v>2028.956</v>
      </c>
      <c r="AJ42" s="188">
        <v>2028.956</v>
      </c>
      <c r="AK42" s="121">
        <f>1891.132</f>
        <v>1891.132</v>
      </c>
      <c r="AL42" s="152">
        <f t="shared" si="28"/>
        <v>-137.82399999999984</v>
      </c>
      <c r="AM42" s="109">
        <f t="shared" si="41"/>
        <v>-0.06792853073206115</v>
      </c>
      <c r="AN42" s="17">
        <f>2094.916</f>
        <v>2094.916</v>
      </c>
      <c r="AO42" s="17">
        <f>1864.262</f>
        <v>1864.262</v>
      </c>
      <c r="AP42" s="17">
        <f>1729.896</f>
        <v>1729.896</v>
      </c>
      <c r="AQ42" s="121">
        <v>1786.68</v>
      </c>
      <c r="AR42" s="121">
        <v>2088.677</v>
      </c>
      <c r="AS42" s="188">
        <v>2088.677</v>
      </c>
      <c r="AT42" s="121">
        <v>1780.388</v>
      </c>
      <c r="AU42" s="52">
        <f t="shared" si="29"/>
        <v>-308.2890000000002</v>
      </c>
      <c r="AV42" s="109">
        <f t="shared" si="42"/>
        <v>-0.1476001315665372</v>
      </c>
      <c r="AW42" s="17">
        <v>1700.319</v>
      </c>
      <c r="AX42" s="17">
        <v>1855.699</v>
      </c>
      <c r="AY42" s="121">
        <v>1708.882</v>
      </c>
      <c r="AZ42" s="121">
        <v>1760.357</v>
      </c>
      <c r="BA42" s="159">
        <v>1708.882</v>
      </c>
      <c r="BB42" s="121">
        <v>1754.433</v>
      </c>
      <c r="BC42" s="52">
        <f t="shared" si="30"/>
        <v>45.55099999999993</v>
      </c>
      <c r="BD42" s="109">
        <f t="shared" si="43"/>
        <v>0.026655439053135284</v>
      </c>
      <c r="BE42" s="17">
        <f>1786.584</f>
        <v>1786.584</v>
      </c>
      <c r="BF42" s="17">
        <v>1926.581</v>
      </c>
      <c r="BG42" s="17">
        <v>1810.267</v>
      </c>
      <c r="BH42" s="162">
        <v>2050.517</v>
      </c>
      <c r="BI42" s="188">
        <v>1810.267</v>
      </c>
      <c r="BJ42" s="121">
        <v>1958.775</v>
      </c>
      <c r="BK42" s="52">
        <f t="shared" si="31"/>
        <v>148.50800000000004</v>
      </c>
      <c r="BL42" s="109">
        <f t="shared" si="44"/>
        <v>0.08203651726513272</v>
      </c>
      <c r="BM42" s="17">
        <v>1812.888</v>
      </c>
      <c r="BN42" s="17">
        <v>1845.739</v>
      </c>
      <c r="BO42" s="17">
        <v>1879.291</v>
      </c>
      <c r="BP42" s="121">
        <v>1848.297</v>
      </c>
      <c r="BQ42" s="188">
        <v>1879.291</v>
      </c>
      <c r="BR42" s="121">
        <v>2044.809</v>
      </c>
      <c r="BS42" s="52">
        <f t="shared" si="32"/>
        <v>165.51800000000003</v>
      </c>
      <c r="BT42" s="109">
        <f t="shared" si="45"/>
        <v>0.08807470476897938</v>
      </c>
      <c r="BU42" s="17">
        <v>1770.379</v>
      </c>
      <c r="BV42" s="121">
        <v>1622.876</v>
      </c>
      <c r="BW42" s="121">
        <f>1846.858</f>
        <v>1846.858</v>
      </c>
      <c r="BX42" s="121">
        <v>1803.24</v>
      </c>
      <c r="BY42" s="188">
        <v>1846.858</v>
      </c>
      <c r="BZ42" s="121">
        <v>2002.992</v>
      </c>
      <c r="CA42" s="52">
        <f t="shared" si="33"/>
        <v>156.13400000000001</v>
      </c>
      <c r="CB42" s="109">
        <f t="shared" si="46"/>
        <v>0.08454033823932323</v>
      </c>
      <c r="CC42" s="17">
        <v>2164.483</v>
      </c>
      <c r="CD42" s="17">
        <v>1939.186</v>
      </c>
      <c r="CE42" s="141">
        <f>1872.542</f>
        <v>1872.542</v>
      </c>
      <c r="CF42" s="121">
        <v>1998.072</v>
      </c>
      <c r="CG42" s="188">
        <v>1872.542</v>
      </c>
      <c r="CH42" s="186">
        <v>2206.219</v>
      </c>
      <c r="CI42" s="52">
        <f t="shared" si="34"/>
        <v>333.67700000000013</v>
      </c>
      <c r="CJ42" s="109">
        <f t="shared" si="47"/>
        <v>0.17819466799676598</v>
      </c>
      <c r="CK42" s="17">
        <f>2172.379</f>
        <v>2172.379</v>
      </c>
      <c r="CL42" s="17">
        <v>2311.82</v>
      </c>
      <c r="CM42" s="121">
        <v>2252.174</v>
      </c>
      <c r="CN42" s="121">
        <v>2353.344</v>
      </c>
      <c r="CO42" s="188">
        <v>2252.174</v>
      </c>
      <c r="CP42" s="121">
        <v>2376.072</v>
      </c>
      <c r="CQ42" s="52">
        <f t="shared" si="35"/>
        <v>123.89800000000014</v>
      </c>
      <c r="CR42" s="109">
        <f t="shared" si="48"/>
        <v>0.05501262335858603</v>
      </c>
      <c r="CS42" s="17">
        <f>2528.741</f>
        <v>2528.741</v>
      </c>
      <c r="CT42" s="17">
        <f>2689.56</f>
        <v>2689.56</v>
      </c>
      <c r="CU42" s="121">
        <f>2532.754</f>
        <v>2532.754</v>
      </c>
      <c r="CV42" s="121">
        <v>2957.924</v>
      </c>
      <c r="CW42" s="188">
        <v>2532.754</v>
      </c>
      <c r="CX42" s="121">
        <v>2894.88</v>
      </c>
      <c r="CY42" s="120">
        <f t="shared" si="36"/>
        <v>362.1260000000002</v>
      </c>
      <c r="CZ42" s="109">
        <f t="shared" si="49"/>
        <v>0.14297717030552523</v>
      </c>
      <c r="DA42" s="142">
        <v>28135.792999999998</v>
      </c>
      <c r="DB42" s="84">
        <f t="shared" si="63"/>
        <v>24838.219999999998</v>
      </c>
      <c r="DC42" s="106" t="e">
        <f>IF(#REF!&gt;=1,J42,I42)+IF(#REF!&gt;=2,S42,R42)+IF(#REF!&gt;=3,AB42,AA42)+IF(#REF!&gt;=4,AK42,AJ42)+IF(#REF!&gt;=5,AT42,AS42)+IF(#REF!&gt;=6,BB42,BA42)+IF(#REF!&gt;=7,BJ42,BI42)+IF(#REF!&gt;=8,BR42,BQ42)+IF(#REF!&gt;=9,BZ42,BY42)+IF(#REF!&gt;=10,CH42,CG42)+IF(#REF!&gt;=11,CP42,CO42)+IF(#REF!&gt;=12,CX42,CW42)</f>
        <v>#REF!</v>
      </c>
      <c r="DD42" s="52" t="e">
        <f t="shared" si="37"/>
        <v>#REF!</v>
      </c>
      <c r="DE42" s="113" t="e">
        <f t="shared" si="50"/>
        <v>#REF!</v>
      </c>
    </row>
    <row r="43" spans="1:109" ht="15.75">
      <c r="A43" s="98" t="s">
        <v>72</v>
      </c>
      <c r="B43" s="12" t="s">
        <v>31</v>
      </c>
      <c r="C43" s="10" t="s">
        <v>36</v>
      </c>
      <c r="D43" s="17">
        <v>871.135</v>
      </c>
      <c r="E43" s="17">
        <f>9001.834-8442.663+312.633</f>
        <v>871.8040000000003</v>
      </c>
      <c r="F43" s="17">
        <f>11119.096-7973.492+293.485+300.16</f>
        <v>3739.2489999999993</v>
      </c>
      <c r="G43" s="17">
        <f>10427.12-8176.637+253.078+279.82+289.32</f>
        <v>3072.7010000000014</v>
      </c>
      <c r="H43" s="121">
        <f>10121.158-7480.703+269.35+282.018+219.53</f>
        <v>3411.352999999999</v>
      </c>
      <c r="I43" s="188">
        <v>3453.959</v>
      </c>
      <c r="J43" s="121">
        <f>8921.178+313.616+212.079+291.089-7896.63</f>
        <v>1841.3319999999994</v>
      </c>
      <c r="K43" s="52">
        <f t="shared" si="0"/>
        <v>-1612.6270000000004</v>
      </c>
      <c r="L43" s="109">
        <f t="shared" si="38"/>
        <v>-0.4668923400654149</v>
      </c>
      <c r="M43" s="17">
        <f>8107.02-7363.295</f>
        <v>743.7250000000004</v>
      </c>
      <c r="N43" s="17">
        <f>8055.976-7285.374+280.576</f>
        <v>1051.1779999999999</v>
      </c>
      <c r="O43" s="17">
        <f>10151.836-7195.943+269.422+330</f>
        <v>3555.314999999999</v>
      </c>
      <c r="P43" s="17">
        <f>9618.504-7406.713+263.257+255.668+243.007</f>
        <v>2973.7230000000013</v>
      </c>
      <c r="Q43" s="121">
        <f>9713.753-6904.55+261.062+225.037+279.383</f>
        <v>3574.685</v>
      </c>
      <c r="R43" s="188">
        <v>3580.25</v>
      </c>
      <c r="S43" s="121">
        <f>8066.352+212.97+260.71+274.095-6613.087</f>
        <v>2201.039999999998</v>
      </c>
      <c r="T43" s="52">
        <f t="shared" si="26"/>
        <v>-1379.2100000000019</v>
      </c>
      <c r="U43" s="109">
        <f t="shared" si="39"/>
        <v>-0.38522728859716554</v>
      </c>
      <c r="V43" s="17">
        <f>8146.178-7083.363</f>
        <v>1062.8149999999996</v>
      </c>
      <c r="W43" s="17">
        <f>8830.806-7465.78+312.163</f>
        <v>1677.1890000000008</v>
      </c>
      <c r="X43" s="17">
        <f>10270.024-7721.515+300.603+334.711</f>
        <v>3183.8229999999994</v>
      </c>
      <c r="Y43" s="17">
        <f>9512.94-7434.014+263.024+278.619+226.16</f>
        <v>2846.7290000000003</v>
      </c>
      <c r="Z43" s="121">
        <f>9585.559-6821.075+287.44+289.972+175.287</f>
        <v>3517.1829999999995</v>
      </c>
      <c r="AA43" s="188">
        <v>3520.471</v>
      </c>
      <c r="AB43" s="121">
        <f>9106.897+299.78+312.522+213.924-7556.336</f>
        <v>2376.787000000003</v>
      </c>
      <c r="AC43" s="52">
        <f t="shared" si="27"/>
        <v>-1143.683999999997</v>
      </c>
      <c r="AD43" s="109">
        <f t="shared" si="40"/>
        <v>-0.3248667578855207</v>
      </c>
      <c r="AE43" s="17">
        <f>7191.693-6087.824+321.396</f>
        <v>1425.2650000000006</v>
      </c>
      <c r="AF43" s="121">
        <f>8145.441-6551.233+308.842</f>
        <v>1903.0499999999997</v>
      </c>
      <c r="AG43" s="121">
        <f>8840.898-6478.327+265.477+245.89</f>
        <v>2873.9379999999987</v>
      </c>
      <c r="AH43" s="121">
        <f>8930.267-6699.259+282.466+179.92+241.409-275.185-189.877</f>
        <v>2469.741</v>
      </c>
      <c r="AI43" s="121">
        <f>7950.861-5903.58+266.638+249.107+106.692</f>
        <v>2669.718</v>
      </c>
      <c r="AJ43" s="188">
        <v>3045.961</v>
      </c>
      <c r="AK43" s="121">
        <f>8426.923-6192.513+137.618+283.309+274.098</f>
        <v>2929.435000000001</v>
      </c>
      <c r="AL43" s="152">
        <f t="shared" si="28"/>
        <v>-116.52599999999893</v>
      </c>
      <c r="AM43" s="109">
        <f t="shared" si="41"/>
        <v>-0.03825590675652083</v>
      </c>
      <c r="AN43" s="17">
        <f>6788.651-6143.812+339.129</f>
        <v>983.968</v>
      </c>
      <c r="AO43" s="17">
        <f>7208.072-6322.722+328.879</f>
        <v>1214.2290000000003</v>
      </c>
      <c r="AP43" s="17">
        <f>8032.475-5994.006+203.523+258.721</f>
        <v>2500.713</v>
      </c>
      <c r="AQ43" s="121">
        <f>8316.588-6080.478+143.811+324.455+255.827</f>
        <v>2960.2029999999995</v>
      </c>
      <c r="AR43" s="121">
        <f>7549.237+228.876+296.228+97.984-5446.71</f>
        <v>2725.6150000000007</v>
      </c>
      <c r="AS43" s="188">
        <v>2961.727</v>
      </c>
      <c r="AT43" s="121">
        <f>8444.384+112.135+316.71+314.548-5903.721</f>
        <v>3284.0560000000005</v>
      </c>
      <c r="AU43" s="52">
        <f t="shared" si="29"/>
        <v>322.32900000000063</v>
      </c>
      <c r="AV43" s="109">
        <f t="shared" si="42"/>
        <v>0.1088314351727896</v>
      </c>
      <c r="AW43" s="17">
        <f>7763.453-5984.722+376.611</f>
        <v>2155.3420000000006</v>
      </c>
      <c r="AX43" s="17">
        <f>7984.539-6101.227+203.16+289.009</f>
        <v>2375.4809999999998</v>
      </c>
      <c r="AY43" s="121">
        <f>8211.124+161.269+331.976+308.604-5896.399</f>
        <v>3116.5739999999996</v>
      </c>
      <c r="AZ43" s="121">
        <f>8771.076+109.587+322.129+300.267-5172.939</f>
        <v>4330.119999999999</v>
      </c>
      <c r="BA43" s="159">
        <v>2499.239</v>
      </c>
      <c r="BB43" s="121">
        <f>8933.423+347.987+371.778+120.886-6184.411</f>
        <v>3589.6630000000005</v>
      </c>
      <c r="BC43" s="52">
        <f t="shared" si="30"/>
        <v>1090.4240000000004</v>
      </c>
      <c r="BD43" s="109">
        <f t="shared" si="43"/>
        <v>0.4363024104537423</v>
      </c>
      <c r="BE43" s="17">
        <f>8362.75-6338.538</f>
        <v>2024.2120000000004</v>
      </c>
      <c r="BF43" s="17">
        <f>8625.155-6716.331+360.46+213.76</f>
        <v>2483.044000000001</v>
      </c>
      <c r="BG43" s="17">
        <f>8187.061-6254.338+311.848+153.307+351.351</f>
        <v>2749.229</v>
      </c>
      <c r="BH43" s="163">
        <f>10042.367+363.302+125.071+361.566-6278.434</f>
        <v>4613.872</v>
      </c>
      <c r="BI43" s="188">
        <v>2858.675</v>
      </c>
      <c r="BJ43" s="121">
        <f>9539.653+364.768+396.165+145.076-6547.667</f>
        <v>3897.995</v>
      </c>
      <c r="BK43" s="52">
        <f t="shared" si="31"/>
        <v>1039.3199999999997</v>
      </c>
      <c r="BL43" s="109">
        <f t="shared" si="44"/>
        <v>0.36356703717631406</v>
      </c>
      <c r="BM43" s="17">
        <f>8403.194-6391.262+410.482</f>
        <v>2422.4139999999998</v>
      </c>
      <c r="BN43" s="17">
        <f>8316.198-6305.316+333.093+186.54</f>
        <v>2530.5150000000003</v>
      </c>
      <c r="BO43" s="17">
        <f>8027.146-6115.215+338.637+310.48+140.813</f>
        <v>2701.861</v>
      </c>
      <c r="BP43" s="121">
        <f>9337.097+113.078+339.983+306.762-5912.097</f>
        <v>4184.823</v>
      </c>
      <c r="BQ43" s="188">
        <v>2754.752</v>
      </c>
      <c r="BR43" s="121">
        <f>9957.676-6582.947+379.226+374.332+142.008</f>
        <v>4270.294999999999</v>
      </c>
      <c r="BS43" s="52">
        <f t="shared" si="32"/>
        <v>1515.5429999999992</v>
      </c>
      <c r="BT43" s="109">
        <f t="shared" si="45"/>
        <v>0.5501558761006433</v>
      </c>
      <c r="BU43" s="17">
        <f>8236.787-5784.995+345.513</f>
        <v>2797.3050000000003</v>
      </c>
      <c r="BV43" s="121">
        <f>7804.961-5694.602+148.92+273.545</f>
        <v>2532.8240000000005</v>
      </c>
      <c r="BW43" s="121">
        <f>8313.137-6284.235+297.655+139.51+269.345</f>
        <v>2735.412000000001</v>
      </c>
      <c r="BX43" s="121">
        <f>9528.665+114.644+285.925+267.954-5837.961</f>
        <v>4359.227</v>
      </c>
      <c r="BY43" s="188">
        <v>2852.928</v>
      </c>
      <c r="BZ43" s="121">
        <f>9027.225+140.766+293.724+296.014-6471.454</f>
        <v>3286.2749999999996</v>
      </c>
      <c r="CA43" s="52">
        <f t="shared" si="33"/>
        <v>433.34699999999975</v>
      </c>
      <c r="CB43" s="109">
        <f t="shared" si="46"/>
        <v>0.15189552628036873</v>
      </c>
      <c r="CC43" s="17">
        <f>9406.27-7517.01+325.782</f>
        <v>2215.0420000000004</v>
      </c>
      <c r="CD43" s="17">
        <f>8932.101-6578.824+176.619+275.341</f>
        <v>2805.237000000001</v>
      </c>
      <c r="CE43" s="141">
        <f>8834.166-6596.855+258.828+296.033+181.897</f>
        <v>2974.0689999999995</v>
      </c>
      <c r="CF43" s="121">
        <f>9700.659+252.454+134.309+253.362-6482.518</f>
        <v>3858.265999999998</v>
      </c>
      <c r="CG43" s="188">
        <v>3068.783</v>
      </c>
      <c r="CH43" s="186">
        <f>9317.024+290.876+314.169+140.818-5783.86</f>
        <v>4279.026999999999</v>
      </c>
      <c r="CI43" s="52">
        <f t="shared" si="34"/>
        <v>1210.2439999999992</v>
      </c>
      <c r="CJ43" s="109">
        <f t="shared" si="47"/>
        <v>0.39437262263248957</v>
      </c>
      <c r="CK43" s="17">
        <f>9480.075-7240.893+310.18</f>
        <v>2549.3620000000005</v>
      </c>
      <c r="CL43" s="17">
        <f>9707.333-7173.037+214.742+271.866</f>
        <v>3020.9040000000005</v>
      </c>
      <c r="CM43" s="121">
        <f>10007.205-7246.994+276.507+269.172+196.343</f>
        <v>3502.233</v>
      </c>
      <c r="CN43" s="121">
        <f>10276.872-7029.254+293.803+276.241+164.873</f>
        <v>3982.5349999999994</v>
      </c>
      <c r="CO43" s="188">
        <v>3596.167</v>
      </c>
      <c r="CP43" s="121">
        <f>9828.874+279.256+296.236+173.63-6801.696</f>
        <v>3776.2999999999993</v>
      </c>
      <c r="CQ43" s="52">
        <f t="shared" si="35"/>
        <v>180.13299999999936</v>
      </c>
      <c r="CR43" s="109">
        <f t="shared" si="48"/>
        <v>0.050090276675137546</v>
      </c>
      <c r="CS43" s="17">
        <f>11214.546-7820.733+306.426</f>
        <v>3700.239</v>
      </c>
      <c r="CT43" s="17">
        <f>10822.974-7677.219+299.377+251.314</f>
        <v>3696.446</v>
      </c>
      <c r="CU43" s="121">
        <f>10961.761-7688.092+252.885+273.52+301.628</f>
        <v>4101.702000000001</v>
      </c>
      <c r="CV43" s="121">
        <f>10643.58-7716.624+221.898+308.153+324.418</f>
        <v>3781.4250000000006</v>
      </c>
      <c r="CW43" s="188">
        <v>4168.128</v>
      </c>
      <c r="CX43" s="121">
        <f>8921.773-7559.533</f>
        <v>1362.2399999999989</v>
      </c>
      <c r="CY43" s="120">
        <f t="shared" si="36"/>
        <v>-2805.888000000001</v>
      </c>
      <c r="CZ43" s="109">
        <f t="shared" si="49"/>
        <v>-0.6731770233543694</v>
      </c>
      <c r="DA43" s="142">
        <v>24640.988999999998</v>
      </c>
      <c r="DB43" s="84">
        <f t="shared" si="63"/>
        <v>38361.03999999999</v>
      </c>
      <c r="DC43" s="106" t="e">
        <f>IF(#REF!&gt;=1,J43,I43)+IF(#REF!&gt;=2,S43,R43)+IF(#REF!&gt;=3,AB43,AA43)+IF(#REF!&gt;=4,AK43,AJ43)+IF(#REF!&gt;=5,AT43,AS43)+IF(#REF!&gt;=6,BB43,BA43)+IF(#REF!&gt;=7,BJ43,BI43)+IF(#REF!&gt;=8,BR43,BQ43)+IF(#REF!&gt;=9,BZ43,BY43)+IF(#REF!&gt;=10,CH43,CG43)+IF(#REF!&gt;=11,CP43,CO43)+IF(#REF!&gt;=12,CX43,CW43)</f>
        <v>#REF!</v>
      </c>
      <c r="DD43" s="52" t="e">
        <f t="shared" si="37"/>
        <v>#REF!</v>
      </c>
      <c r="DE43" s="113" t="e">
        <f t="shared" si="50"/>
        <v>#REF!</v>
      </c>
    </row>
    <row r="44" spans="1:109" ht="15.75">
      <c r="A44" s="98" t="s">
        <v>73</v>
      </c>
      <c r="B44" s="12" t="s">
        <v>33</v>
      </c>
      <c r="C44" s="10" t="s">
        <v>36</v>
      </c>
      <c r="D44" s="17"/>
      <c r="E44" s="17">
        <v>-14.327</v>
      </c>
      <c r="F44" s="17">
        <v>-20.92</v>
      </c>
      <c r="G44" s="17">
        <f>0-19.438</f>
        <v>-19.438</v>
      </c>
      <c r="H44" s="121">
        <f>0-10.453</f>
        <v>-10.453</v>
      </c>
      <c r="I44" s="188">
        <v>-41.12</v>
      </c>
      <c r="J44" s="121">
        <v>-14.222</v>
      </c>
      <c r="K44" s="52">
        <f t="shared" si="0"/>
        <v>26.897999999999996</v>
      </c>
      <c r="L44" s="109">
        <f t="shared" si="38"/>
        <v>-0.6541342412451361</v>
      </c>
      <c r="M44" s="17"/>
      <c r="N44" s="17">
        <v>-15.415</v>
      </c>
      <c r="O44" s="17">
        <v>-18.329</v>
      </c>
      <c r="P44" s="17">
        <f>0-20.655</f>
        <v>-20.655</v>
      </c>
      <c r="Q44" s="121">
        <f>0-9.232</f>
        <v>-9.232</v>
      </c>
      <c r="R44" s="188">
        <v>-41.034</v>
      </c>
      <c r="S44" s="121">
        <v>-8.895</v>
      </c>
      <c r="T44" s="52">
        <f t="shared" si="26"/>
        <v>32.138999999999996</v>
      </c>
      <c r="U44" s="109">
        <f t="shared" si="39"/>
        <v>-0.7832285421845299</v>
      </c>
      <c r="V44" s="17"/>
      <c r="W44" s="17">
        <v>-8.585</v>
      </c>
      <c r="X44" s="17">
        <f>0-18.248</f>
        <v>-18.248</v>
      </c>
      <c r="Y44" s="17">
        <f>0-17.132</f>
        <v>-17.132</v>
      </c>
      <c r="Z44" s="121">
        <f>0-8.81</f>
        <v>-8.81</v>
      </c>
      <c r="AA44" s="188">
        <v>-38.81</v>
      </c>
      <c r="AB44" s="121">
        <v>-9.244</v>
      </c>
      <c r="AC44" s="52">
        <f t="shared" si="27"/>
        <v>29.566000000000003</v>
      </c>
      <c r="AD44" s="109">
        <f t="shared" si="40"/>
        <v>-0.7618139654728163</v>
      </c>
      <c r="AE44" s="17"/>
      <c r="AF44" s="121">
        <v>-11.793</v>
      </c>
      <c r="AG44" s="121">
        <v>-19.185</v>
      </c>
      <c r="AH44" s="121">
        <f>0-17.529</f>
        <v>-17.529</v>
      </c>
      <c r="AI44" s="121">
        <f>0-4.735</f>
        <v>-4.735</v>
      </c>
      <c r="AJ44" s="188">
        <v>-37.688</v>
      </c>
      <c r="AK44" s="121">
        <v>-10.359</v>
      </c>
      <c r="AL44" s="152">
        <f>AK44-AJ44</f>
        <v>27.329</v>
      </c>
      <c r="AM44" s="109">
        <f t="shared" si="41"/>
        <v>-0.7251379749522394</v>
      </c>
      <c r="AN44" s="17"/>
      <c r="AO44" s="17">
        <v>-10.695</v>
      </c>
      <c r="AP44" s="17">
        <f>0-24.692</f>
        <v>-24.692</v>
      </c>
      <c r="AQ44" s="121">
        <f>0-31.715</f>
        <v>-31.715</v>
      </c>
      <c r="AR44" s="121">
        <f>0-14.794</f>
        <v>-14.794</v>
      </c>
      <c r="AS44" s="188">
        <v>-41.948</v>
      </c>
      <c r="AT44" s="121">
        <v>-9.653</v>
      </c>
      <c r="AU44" s="52">
        <f t="shared" si="29"/>
        <v>32.295</v>
      </c>
      <c r="AV44" s="109">
        <f t="shared" si="42"/>
        <v>-0.7698817583675026</v>
      </c>
      <c r="AW44" s="17">
        <v>-12.91</v>
      </c>
      <c r="AX44" s="17">
        <v>-19.279</v>
      </c>
      <c r="AY44" s="121">
        <f>0-26.571</f>
        <v>-26.571</v>
      </c>
      <c r="AZ44" s="121">
        <v>-10.691</v>
      </c>
      <c r="BA44" s="159">
        <v>-44.025</v>
      </c>
      <c r="BB44" s="121">
        <f>0-24.449</f>
        <v>-24.449</v>
      </c>
      <c r="BC44" s="52">
        <f t="shared" si="30"/>
        <v>19.575999999999997</v>
      </c>
      <c r="BD44" s="109">
        <f t="shared" si="43"/>
        <v>-0.44465644520159</v>
      </c>
      <c r="BE44" s="17">
        <v>-13.376</v>
      </c>
      <c r="BF44" s="17">
        <v>-21.429</v>
      </c>
      <c r="BG44" s="17">
        <f>0-25.997</f>
        <v>-25.997</v>
      </c>
      <c r="BH44" s="162">
        <v>-21.47</v>
      </c>
      <c r="BI44" s="188">
        <v>-37.651</v>
      </c>
      <c r="BJ44" s="121">
        <v>-27.064</v>
      </c>
      <c r="BK44" s="52">
        <f t="shared" si="31"/>
        <v>10.587000000000003</v>
      </c>
      <c r="BL44" s="109">
        <f t="shared" si="44"/>
        <v>-0.28118775065735313</v>
      </c>
      <c r="BM44" s="17">
        <v>-30.418</v>
      </c>
      <c r="BN44" s="17">
        <v>-25.154</v>
      </c>
      <c r="BO44" s="17">
        <f>0-27.809</f>
        <v>-27.809</v>
      </c>
      <c r="BP44" s="121">
        <v>-12.873</v>
      </c>
      <c r="BQ44" s="188">
        <v>-26.338</v>
      </c>
      <c r="BR44" s="121">
        <v>-25.348</v>
      </c>
      <c r="BS44" s="52">
        <f t="shared" si="32"/>
        <v>0.990000000000002</v>
      </c>
      <c r="BT44" s="109">
        <f t="shared" si="45"/>
        <v>-0.03758827549548189</v>
      </c>
      <c r="BU44" s="17">
        <v>-13.988</v>
      </c>
      <c r="BV44" s="121">
        <f>0-22.255</f>
        <v>-22.255</v>
      </c>
      <c r="BW44" s="121">
        <f>0-24.87</f>
        <v>-24.87</v>
      </c>
      <c r="BX44" s="121">
        <v>-9.588</v>
      </c>
      <c r="BY44" s="188">
        <v>-37.154</v>
      </c>
      <c r="BZ44" s="121">
        <v>-11.96</v>
      </c>
      <c r="CA44" s="52">
        <f t="shared" si="33"/>
        <v>25.194000000000003</v>
      </c>
      <c r="CB44" s="109">
        <f t="shared" si="46"/>
        <v>-0.6780965710286914</v>
      </c>
      <c r="CC44" s="17">
        <v>-14.58</v>
      </c>
      <c r="CD44" s="17">
        <f>0-20.642</f>
        <v>-20.642</v>
      </c>
      <c r="CE44" s="141">
        <f>0-24.102</f>
        <v>-24.102</v>
      </c>
      <c r="CF44" s="121">
        <v>-7.809</v>
      </c>
      <c r="CG44" s="188">
        <v>-37.668</v>
      </c>
      <c r="CH44" s="186">
        <v>-11.517</v>
      </c>
      <c r="CI44" s="52">
        <f t="shared" si="34"/>
        <v>26.151</v>
      </c>
      <c r="CJ44" s="109">
        <f t="shared" si="47"/>
        <v>-0.6942497610704046</v>
      </c>
      <c r="CK44" s="17">
        <f>0-14.21</f>
        <v>-14.21</v>
      </c>
      <c r="CL44" s="17">
        <f>0-18.206</f>
        <v>-18.206</v>
      </c>
      <c r="CM44" s="121">
        <f>0-25.046</f>
        <v>-25.046</v>
      </c>
      <c r="CN44" s="121">
        <v>-6.628</v>
      </c>
      <c r="CO44" s="188">
        <v>-39.897</v>
      </c>
      <c r="CP44" s="121">
        <v>-11.68</v>
      </c>
      <c r="CQ44" s="52">
        <f t="shared" si="35"/>
        <v>28.217</v>
      </c>
      <c r="CR44" s="109">
        <f t="shared" si="48"/>
        <v>-0.7072461588590621</v>
      </c>
      <c r="CS44" s="17">
        <f>0-30.227</f>
        <v>-30.227</v>
      </c>
      <c r="CT44" s="17">
        <f>0-23.608</f>
        <v>-23.608</v>
      </c>
      <c r="CU44" s="121">
        <f>0-24.59</f>
        <v>-24.59</v>
      </c>
      <c r="CV44" s="121">
        <v>-7.093</v>
      </c>
      <c r="CW44" s="188">
        <v>-42.504</v>
      </c>
      <c r="CX44" s="121">
        <v>-11.497</v>
      </c>
      <c r="CY44" s="120">
        <f t="shared" si="36"/>
        <v>31.006999999999998</v>
      </c>
      <c r="CZ44" s="109">
        <f t="shared" si="49"/>
        <v>-0.7295078110295502</v>
      </c>
      <c r="DA44" s="161">
        <v>-115.216</v>
      </c>
      <c r="DB44" s="84">
        <f t="shared" si="63"/>
        <v>-465.83700000000005</v>
      </c>
      <c r="DC44" s="106" t="e">
        <f>IF(#REF!&gt;=1,J44,I44)+IF(#REF!&gt;=2,S44,R44)+IF(#REF!&gt;=3,AB44,AA44)+IF(#REF!&gt;=4,AK44,AJ44)+IF(#REF!&gt;=5,AT44,AS44)+IF(#REF!&gt;=6,BB44,BA44)+IF(#REF!&gt;=7,BJ44,BI44)+IF(#REF!&gt;=8,BR44,BQ44)+IF(#REF!&gt;=9,BZ44,BY44)+IF(#REF!&gt;=10,CH44,CG44)+IF(#REF!&gt;=11,CP44,CO44)+IF(#REF!&gt;=12,CX44,CW44)</f>
        <v>#REF!</v>
      </c>
      <c r="DD44" s="52" t="e">
        <f t="shared" si="37"/>
        <v>#REF!</v>
      </c>
      <c r="DE44" s="113" t="e">
        <f t="shared" si="50"/>
        <v>#REF!</v>
      </c>
    </row>
    <row r="45" spans="1:109" ht="15.75">
      <c r="A45" s="98" t="s">
        <v>256</v>
      </c>
      <c r="B45" s="12" t="s">
        <v>257</v>
      </c>
      <c r="C45" s="10" t="s">
        <v>36</v>
      </c>
      <c r="D45" s="17"/>
      <c r="E45" s="17"/>
      <c r="F45" s="17"/>
      <c r="G45" s="17"/>
      <c r="H45" s="17"/>
      <c r="I45" s="17"/>
      <c r="J45" s="17"/>
      <c r="K45" s="52">
        <f>J45-I45</f>
        <v>0</v>
      </c>
      <c r="L45" s="109">
        <f>IF(I45=0,0,K45/I45)</f>
        <v>0</v>
      </c>
      <c r="M45" s="17"/>
      <c r="N45" s="17"/>
      <c r="O45" s="17"/>
      <c r="P45" s="17"/>
      <c r="Q45" s="17"/>
      <c r="R45" s="17"/>
      <c r="S45" s="17"/>
      <c r="T45" s="52">
        <f t="shared" si="26"/>
        <v>0</v>
      </c>
      <c r="U45" s="109">
        <f t="shared" si="39"/>
        <v>0</v>
      </c>
      <c r="V45" s="17"/>
      <c r="W45" s="17"/>
      <c r="X45" s="17"/>
      <c r="Y45" s="17"/>
      <c r="Z45" s="17"/>
      <c r="AA45" s="17"/>
      <c r="AB45" s="17"/>
      <c r="AC45" s="52">
        <f t="shared" si="27"/>
        <v>0</v>
      </c>
      <c r="AD45" s="109">
        <f t="shared" si="40"/>
        <v>0</v>
      </c>
      <c r="AE45" s="17"/>
      <c r="AF45" s="17"/>
      <c r="AG45" s="17"/>
      <c r="AH45" s="17"/>
      <c r="AI45" s="17"/>
      <c r="AJ45" s="17"/>
      <c r="AK45" s="17"/>
      <c r="AL45" s="52">
        <f t="shared" si="28"/>
        <v>0</v>
      </c>
      <c r="AM45" s="109">
        <f t="shared" si="41"/>
        <v>0</v>
      </c>
      <c r="AN45" s="17"/>
      <c r="AO45" s="17"/>
      <c r="AP45" s="17"/>
      <c r="AQ45" s="121"/>
      <c r="AR45" s="121"/>
      <c r="AS45" s="17"/>
      <c r="AT45" s="121"/>
      <c r="AU45" s="52">
        <f t="shared" si="29"/>
        <v>0</v>
      </c>
      <c r="AV45" s="109">
        <f t="shared" si="42"/>
        <v>0</v>
      </c>
      <c r="AW45" s="17"/>
      <c r="AX45" s="17"/>
      <c r="AY45" s="121"/>
      <c r="AZ45" s="17"/>
      <c r="BA45" s="17"/>
      <c r="BB45" s="17"/>
      <c r="BC45" s="52">
        <f t="shared" si="30"/>
        <v>0</v>
      </c>
      <c r="BD45" s="109">
        <f t="shared" si="43"/>
        <v>0</v>
      </c>
      <c r="BE45" s="17"/>
      <c r="BF45" s="17"/>
      <c r="BG45" s="121"/>
      <c r="BH45" s="117"/>
      <c r="BI45" s="17"/>
      <c r="BJ45" s="117"/>
      <c r="BK45" s="52">
        <f t="shared" si="31"/>
        <v>0</v>
      </c>
      <c r="BL45" s="109">
        <f t="shared" si="44"/>
        <v>0</v>
      </c>
      <c r="BM45" s="17"/>
      <c r="BN45" s="17"/>
      <c r="BO45" s="17"/>
      <c r="BP45" s="17"/>
      <c r="BQ45" s="17"/>
      <c r="BR45" s="117"/>
      <c r="BS45" s="52">
        <f t="shared" si="32"/>
        <v>0</v>
      </c>
      <c r="BT45" s="109">
        <f t="shared" si="45"/>
        <v>0</v>
      </c>
      <c r="BU45" s="17"/>
      <c r="BV45" s="17"/>
      <c r="BW45" s="17"/>
      <c r="BX45" s="17"/>
      <c r="BY45" s="17"/>
      <c r="BZ45" s="17"/>
      <c r="CA45" s="52">
        <f t="shared" si="33"/>
        <v>0</v>
      </c>
      <c r="CB45" s="109">
        <f t="shared" si="46"/>
        <v>0</v>
      </c>
      <c r="CC45" s="17"/>
      <c r="CD45" s="17"/>
      <c r="CE45" s="141"/>
      <c r="CF45" s="141"/>
      <c r="CG45" s="17"/>
      <c r="CH45" s="141"/>
      <c r="CI45" s="52">
        <f t="shared" si="34"/>
        <v>0</v>
      </c>
      <c r="CJ45" s="109">
        <f t="shared" si="47"/>
        <v>0</v>
      </c>
      <c r="CK45" s="17"/>
      <c r="CL45" s="17"/>
      <c r="CM45" s="17"/>
      <c r="CN45" s="17"/>
      <c r="CO45" s="17"/>
      <c r="CP45" s="17"/>
      <c r="CQ45" s="52">
        <f t="shared" si="35"/>
        <v>0</v>
      </c>
      <c r="CR45" s="109">
        <f t="shared" si="48"/>
        <v>0</v>
      </c>
      <c r="CS45" s="17"/>
      <c r="CT45" s="17"/>
      <c r="CU45" s="121"/>
      <c r="CV45" s="121"/>
      <c r="CW45" s="17"/>
      <c r="CX45" s="121"/>
      <c r="CY45" s="52">
        <f t="shared" si="36"/>
        <v>0</v>
      </c>
      <c r="CZ45" s="109">
        <f t="shared" si="49"/>
        <v>0</v>
      </c>
      <c r="DA45" s="142">
        <v>0</v>
      </c>
      <c r="DB45" s="84">
        <f t="shared" si="63"/>
        <v>0</v>
      </c>
      <c r="DC45" s="106" t="e">
        <f>IF(#REF!&gt;=1,J45,I45)+IF(#REF!&gt;=2,S45,R45)+IF(#REF!&gt;=3,AB45,AA45)+IF(#REF!&gt;=4,AK45,AJ45)+IF(#REF!&gt;=5,AT45,AS45)+IF(#REF!&gt;=6,BB45,BA45)+IF(#REF!&gt;=7,BJ45,BI45)+IF(#REF!&gt;=8,BR45,BQ45)+IF(#REF!&gt;=9,BZ45,BY45)+IF(#REF!&gt;=10,CH45,CG45)+IF(#REF!&gt;=11,CP45,CO45)+IF(#REF!&gt;=12,CX45,CW45)</f>
        <v>#REF!</v>
      </c>
      <c r="DD45" s="52" t="e">
        <f>DC45-DB45</f>
        <v>#REF!</v>
      </c>
      <c r="DE45" s="113">
        <f>IF(DB45=0,0,DD45/DB45)</f>
        <v>0</v>
      </c>
    </row>
    <row r="46" spans="1:109" ht="15.75">
      <c r="A46" s="98">
        <v>16</v>
      </c>
      <c r="B46" s="220" t="s">
        <v>35</v>
      </c>
      <c r="C46" s="10" t="s">
        <v>36</v>
      </c>
      <c r="D46" s="52">
        <f aca="true" t="shared" si="64" ref="D46:J46">D47*D40</f>
        <v>6544.253154912</v>
      </c>
      <c r="E46" s="52">
        <f t="shared" si="64"/>
        <v>6252.16717507</v>
      </c>
      <c r="F46" s="52">
        <f t="shared" si="64"/>
        <v>6241.0243704</v>
      </c>
      <c r="G46" s="52">
        <f t="shared" si="64"/>
        <v>6099.3177416</v>
      </c>
      <c r="H46" s="52">
        <f t="shared" si="64"/>
        <v>5264.7848564999995</v>
      </c>
      <c r="I46" s="52">
        <f t="shared" si="64"/>
        <v>5471.835559499999</v>
      </c>
      <c r="J46" s="52">
        <f t="shared" si="64"/>
        <v>5679.0531405</v>
      </c>
      <c r="K46" s="52">
        <f t="shared" si="0"/>
        <v>207.2175810000008</v>
      </c>
      <c r="L46" s="52" t="s">
        <v>250</v>
      </c>
      <c r="M46" s="52">
        <f aca="true" t="shared" si="65" ref="M46:S46">M47*M40</f>
        <v>5649.4415108</v>
      </c>
      <c r="N46" s="52">
        <f t="shared" si="65"/>
        <v>5536.44711486</v>
      </c>
      <c r="O46" s="52">
        <f t="shared" si="65"/>
        <v>5656.5730068</v>
      </c>
      <c r="P46" s="52">
        <f t="shared" si="65"/>
        <v>5382.565451999999</v>
      </c>
      <c r="Q46" s="52">
        <f t="shared" si="65"/>
        <v>4914.7722162</v>
      </c>
      <c r="R46" s="52">
        <f t="shared" si="65"/>
        <v>5070.403166399999</v>
      </c>
      <c r="S46" s="52">
        <f t="shared" si="65"/>
        <v>5321.397411000001</v>
      </c>
      <c r="T46" s="52">
        <f t="shared" si="26"/>
        <v>250.99424460000228</v>
      </c>
      <c r="U46" s="52" t="s">
        <v>250</v>
      </c>
      <c r="V46" s="52">
        <f aca="true" t="shared" si="66" ref="V46:AB46">V47*V40</f>
        <v>5830.7214</v>
      </c>
      <c r="W46" s="52">
        <f t="shared" si="66"/>
        <v>5772.193631960001</v>
      </c>
      <c r="X46" s="52">
        <f t="shared" si="66"/>
        <v>6006.842573600001</v>
      </c>
      <c r="Y46" s="52">
        <f t="shared" si="66"/>
        <v>5595.28463204</v>
      </c>
      <c r="Z46" s="52">
        <f t="shared" si="66"/>
        <v>4075.920162</v>
      </c>
      <c r="AA46" s="52">
        <f t="shared" si="66"/>
        <v>4269.2757624</v>
      </c>
      <c r="AB46" s="52">
        <f t="shared" si="66"/>
        <v>4430.651238</v>
      </c>
      <c r="AC46" s="52">
        <f t="shared" si="27"/>
        <v>161.37547560000075</v>
      </c>
      <c r="AD46" s="52" t="s">
        <v>250</v>
      </c>
      <c r="AE46" s="52">
        <f aca="true" t="shared" si="67" ref="AE46:AK46">AE47*AE40</f>
        <v>3468.8353392</v>
      </c>
      <c r="AF46" s="52">
        <f t="shared" si="67"/>
        <v>3497.7879983999997</v>
      </c>
      <c r="AG46" s="52">
        <f t="shared" si="67"/>
        <v>3511.0013232</v>
      </c>
      <c r="AH46" s="52">
        <f t="shared" si="67"/>
        <v>3281.3102976</v>
      </c>
      <c r="AI46" s="52">
        <f t="shared" si="67"/>
        <v>3151.6146048000005</v>
      </c>
      <c r="AJ46" s="52">
        <f t="shared" si="67"/>
        <v>2981.8332656</v>
      </c>
      <c r="AK46" s="52">
        <f t="shared" si="67"/>
        <v>3002.141102</v>
      </c>
      <c r="AL46" s="52">
        <f t="shared" si="28"/>
        <v>20.30783640000027</v>
      </c>
      <c r="AM46" s="52" t="s">
        <v>250</v>
      </c>
      <c r="AN46" s="52">
        <f aca="true" t="shared" si="68" ref="AN46:AT46">AN47*AN40</f>
        <v>3177.2407344999997</v>
      </c>
      <c r="AO46" s="52">
        <f t="shared" si="68"/>
        <v>3140.0220425</v>
      </c>
      <c r="AP46" s="52">
        <f t="shared" si="68"/>
        <v>3059.0646415</v>
      </c>
      <c r="AQ46" s="120">
        <f t="shared" si="68"/>
        <v>3071.5802985</v>
      </c>
      <c r="AR46" s="120">
        <f t="shared" si="68"/>
        <v>2874.9283808999994</v>
      </c>
      <c r="AS46" s="120">
        <f t="shared" si="68"/>
        <v>3148.2010962</v>
      </c>
      <c r="AT46" s="120">
        <f t="shared" si="68"/>
        <v>3133.8000198000004</v>
      </c>
      <c r="AU46" s="52">
        <f t="shared" si="29"/>
        <v>-14.40107639999951</v>
      </c>
      <c r="AV46" s="52" t="s">
        <v>250</v>
      </c>
      <c r="AW46" s="52">
        <f aca="true" t="shared" si="69" ref="AW46:BB46">AW47*AW40</f>
        <v>2707.7756526000003</v>
      </c>
      <c r="AX46" s="52">
        <f t="shared" si="69"/>
        <v>2823.4704366000005</v>
      </c>
      <c r="AY46" s="120">
        <f t="shared" si="69"/>
        <v>2766.4564680000003</v>
      </c>
      <c r="AZ46" s="136">
        <f t="shared" si="69"/>
        <v>2540.9577636000004</v>
      </c>
      <c r="BA46" s="52">
        <f t="shared" si="69"/>
        <v>2814.5499354000003</v>
      </c>
      <c r="BB46" s="136">
        <f t="shared" si="69"/>
        <v>2978.4863034</v>
      </c>
      <c r="BC46" s="52">
        <f t="shared" si="30"/>
        <v>163.93636799999967</v>
      </c>
      <c r="BD46" s="52" t="s">
        <v>250</v>
      </c>
      <c r="BE46" s="52">
        <f aca="true" t="shared" si="70" ref="BE46:BJ46">BE47*BE40</f>
        <v>3393.633749999999</v>
      </c>
      <c r="BF46" s="52">
        <f t="shared" si="70"/>
        <v>3672.6822912</v>
      </c>
      <c r="BG46" s="52">
        <f t="shared" si="70"/>
        <v>3323.6333091</v>
      </c>
      <c r="BH46" s="160">
        <f t="shared" si="70"/>
        <v>3577.2447308</v>
      </c>
      <c r="BI46" s="52">
        <f t="shared" si="70"/>
        <v>3491.5938134999997</v>
      </c>
      <c r="BJ46" s="160">
        <f t="shared" si="70"/>
        <v>3667.3174538</v>
      </c>
      <c r="BK46" s="52">
        <f t="shared" si="31"/>
        <v>175.72364030000017</v>
      </c>
      <c r="BL46" s="52" t="s">
        <v>250</v>
      </c>
      <c r="BM46" s="52">
        <f aca="true" t="shared" si="71" ref="BM46:BR46">BM47*BM40</f>
        <v>3447.3035697400005</v>
      </c>
      <c r="BN46" s="52">
        <f t="shared" si="71"/>
        <v>3447.91534696</v>
      </c>
      <c r="BO46" s="52">
        <f t="shared" si="71"/>
        <v>3312.40552174</v>
      </c>
      <c r="BP46" s="52">
        <f t="shared" si="71"/>
        <v>3230.4170217</v>
      </c>
      <c r="BQ46" s="52">
        <f t="shared" si="71"/>
        <v>3310.8748383999996</v>
      </c>
      <c r="BR46" s="160">
        <f t="shared" si="71"/>
        <v>3822.4449625000007</v>
      </c>
      <c r="BS46" s="52">
        <f t="shared" si="32"/>
        <v>511.57012410000107</v>
      </c>
      <c r="BT46" s="52" t="s">
        <v>250</v>
      </c>
      <c r="BU46" s="52">
        <f aca="true" t="shared" si="72" ref="BU46:BZ46">BU47*BU40</f>
        <v>3537.7283304</v>
      </c>
      <c r="BV46" s="52">
        <f t="shared" si="72"/>
        <v>3356.4864772799997</v>
      </c>
      <c r="BW46" s="52">
        <f t="shared" si="72"/>
        <v>3538.0454328</v>
      </c>
      <c r="BX46" s="52">
        <f t="shared" si="72"/>
        <v>3316.9660020000006</v>
      </c>
      <c r="BY46" s="52">
        <f t="shared" si="72"/>
        <v>3316.4480430000003</v>
      </c>
      <c r="BZ46" s="52">
        <f t="shared" si="72"/>
        <v>3470.542641000001</v>
      </c>
      <c r="CA46" s="52">
        <f t="shared" si="33"/>
        <v>154.0945980000006</v>
      </c>
      <c r="CB46" s="52" t="s">
        <v>250</v>
      </c>
      <c r="CC46" s="52">
        <f aca="true" t="shared" si="73" ref="CC46:CH46">CC47*CC40</f>
        <v>4923.5119936</v>
      </c>
      <c r="CD46" s="52">
        <f t="shared" si="73"/>
        <v>3960.82655568</v>
      </c>
      <c r="CE46" s="152">
        <f t="shared" si="73"/>
        <v>3824.64196704</v>
      </c>
      <c r="CF46" s="152">
        <f t="shared" si="73"/>
        <v>3650.98193568</v>
      </c>
      <c r="CG46" s="52">
        <f t="shared" si="73"/>
        <v>4087.3210142999997</v>
      </c>
      <c r="CH46" s="152">
        <f t="shared" si="73"/>
        <v>4129.782777299999</v>
      </c>
      <c r="CI46" s="52">
        <f t="shared" si="34"/>
        <v>42.46176299999934</v>
      </c>
      <c r="CJ46" s="52" t="s">
        <v>250</v>
      </c>
      <c r="CK46" s="52">
        <f aca="true" t="shared" si="74" ref="CK46:CP46">CK47*CK40</f>
        <v>5115.264770000001</v>
      </c>
      <c r="CL46" s="52">
        <f t="shared" si="74"/>
        <v>5265.148679999999</v>
      </c>
      <c r="CM46" s="120">
        <f t="shared" si="74"/>
        <v>5119.03843</v>
      </c>
      <c r="CN46" s="120">
        <f t="shared" si="74"/>
        <v>4474.208616</v>
      </c>
      <c r="CO46" s="52">
        <f t="shared" si="74"/>
        <v>4437.022062</v>
      </c>
      <c r="CP46" s="120">
        <f t="shared" si="74"/>
        <v>4434.790704499999</v>
      </c>
      <c r="CQ46" s="52">
        <f t="shared" si="35"/>
        <v>-2.2313575000007404</v>
      </c>
      <c r="CR46" s="52" t="s">
        <v>250</v>
      </c>
      <c r="CS46" s="52">
        <f aca="true" t="shared" si="75" ref="CS46:CX46">CS47*CS40</f>
        <v>8897.9415624</v>
      </c>
      <c r="CT46" s="52">
        <f t="shared" si="75"/>
        <v>8927.53847808</v>
      </c>
      <c r="CU46" s="120">
        <f t="shared" si="75"/>
        <v>8621.657407019999</v>
      </c>
      <c r="CV46" s="120">
        <f t="shared" si="75"/>
        <v>8017.028596499999</v>
      </c>
      <c r="CW46" s="52">
        <f t="shared" si="75"/>
        <v>7687.810298</v>
      </c>
      <c r="CX46" s="120">
        <f t="shared" si="75"/>
        <v>7899.101161</v>
      </c>
      <c r="CY46" s="52">
        <f t="shared" si="36"/>
        <v>211.29086299999926</v>
      </c>
      <c r="CZ46" s="52" t="s">
        <v>250</v>
      </c>
      <c r="DA46" s="142">
        <v>51441.9682798</v>
      </c>
      <c r="DB46" s="84">
        <f t="shared" si="63"/>
        <v>50087.168854699994</v>
      </c>
      <c r="DC46" s="106" t="e">
        <f>IF(#REF!&gt;=1,J46,I46)+IF(#REF!&gt;=2,S46,R46)+IF(#REF!&gt;=3,AB46,AA46)+IF(#REF!&gt;=4,AK46,AJ46)+IF(#REF!&gt;=5,AT46,AS46)+IF(#REF!&gt;=6,BB46,BA46)+IF(#REF!&gt;=7,BJ46,BI46)+IF(#REF!&gt;=8,BR46,BQ46)+IF(#REF!&gt;=9,BZ46,BY46)+IF(#REF!&gt;=10,CH46,CG46)+IF(#REF!&gt;=11,CP46,CO46)+IF(#REF!&gt;=12,CX46,CW46)</f>
        <v>#REF!</v>
      </c>
      <c r="DD46" s="52" t="e">
        <f t="shared" si="37"/>
        <v>#REF!</v>
      </c>
      <c r="DE46" s="83" t="s">
        <v>250</v>
      </c>
    </row>
    <row r="47" spans="1:109" ht="15.75">
      <c r="A47" s="98" t="s">
        <v>74</v>
      </c>
      <c r="B47" s="220"/>
      <c r="C47" s="10" t="s">
        <v>1</v>
      </c>
      <c r="D47" s="21">
        <v>0.11917</v>
      </c>
      <c r="E47" s="21">
        <v>0.11917</v>
      </c>
      <c r="F47" s="21">
        <v>0.1192</v>
      </c>
      <c r="G47" s="17">
        <v>0.1192</v>
      </c>
      <c r="H47" s="21">
        <v>0.1095</v>
      </c>
      <c r="I47" s="21">
        <v>0.1095</v>
      </c>
      <c r="J47" s="21">
        <v>0.1095</v>
      </c>
      <c r="K47" s="51">
        <f t="shared" si="0"/>
        <v>0</v>
      </c>
      <c r="L47" s="51" t="s">
        <v>250</v>
      </c>
      <c r="M47" s="21">
        <v>0.1187</v>
      </c>
      <c r="N47" s="21">
        <v>0.11874</v>
      </c>
      <c r="O47" s="21">
        <v>0.1187</v>
      </c>
      <c r="P47" s="21">
        <v>0.1187</v>
      </c>
      <c r="Q47" s="21">
        <v>0.1089</v>
      </c>
      <c r="R47" s="189">
        <v>0.1089</v>
      </c>
      <c r="S47" s="189">
        <v>0.1089</v>
      </c>
      <c r="T47" s="51">
        <f t="shared" si="26"/>
        <v>0</v>
      </c>
      <c r="U47" s="51" t="s">
        <v>250</v>
      </c>
      <c r="V47" s="21">
        <v>0.12</v>
      </c>
      <c r="W47" s="21">
        <v>0.12002</v>
      </c>
      <c r="X47" s="21">
        <v>0.12002</v>
      </c>
      <c r="Y47" s="21">
        <v>0.12002</v>
      </c>
      <c r="Z47" s="21">
        <v>0.0916</v>
      </c>
      <c r="AA47" s="189">
        <v>0.0916</v>
      </c>
      <c r="AB47" s="189">
        <v>0.0916</v>
      </c>
      <c r="AC47" s="51">
        <f t="shared" si="27"/>
        <v>0</v>
      </c>
      <c r="AD47" s="51" t="s">
        <v>250</v>
      </c>
      <c r="AE47" s="21">
        <v>0.0816</v>
      </c>
      <c r="AF47" s="21">
        <v>0.0816</v>
      </c>
      <c r="AG47" s="21">
        <v>0.0816</v>
      </c>
      <c r="AH47" s="21">
        <v>0.0816</v>
      </c>
      <c r="AI47" s="21">
        <v>0.0816</v>
      </c>
      <c r="AJ47" s="189">
        <v>0.0716</v>
      </c>
      <c r="AK47" s="189">
        <v>0.0716</v>
      </c>
      <c r="AL47" s="51">
        <f t="shared" si="28"/>
        <v>0</v>
      </c>
      <c r="AM47" s="51" t="s">
        <v>250</v>
      </c>
      <c r="AN47" s="21">
        <v>0.0805</v>
      </c>
      <c r="AO47" s="21">
        <v>0.0805</v>
      </c>
      <c r="AP47" s="21">
        <v>0.0805</v>
      </c>
      <c r="AQ47" s="21">
        <v>0.0805</v>
      </c>
      <c r="AR47" s="21">
        <v>0.0807</v>
      </c>
      <c r="AS47" s="189">
        <v>0.0807</v>
      </c>
      <c r="AT47" s="189">
        <v>0.0807</v>
      </c>
      <c r="AU47" s="51">
        <f t="shared" si="29"/>
        <v>0</v>
      </c>
      <c r="AV47" s="51" t="s">
        <v>250</v>
      </c>
      <c r="AW47" s="21">
        <v>0.0738</v>
      </c>
      <c r="AX47" s="21">
        <v>0.0738</v>
      </c>
      <c r="AY47" s="21">
        <v>0.0738</v>
      </c>
      <c r="AZ47" s="123">
        <v>0.0738</v>
      </c>
      <c r="BA47" s="21">
        <v>0.0738</v>
      </c>
      <c r="BB47" s="123">
        <v>0.0738</v>
      </c>
      <c r="BC47" s="51">
        <f t="shared" si="30"/>
        <v>0</v>
      </c>
      <c r="BD47" s="51" t="s">
        <v>250</v>
      </c>
      <c r="BE47" s="21">
        <v>0.0871</v>
      </c>
      <c r="BF47" s="21">
        <v>0.0871</v>
      </c>
      <c r="BG47" s="21">
        <v>0.0871</v>
      </c>
      <c r="BH47" s="21">
        <v>0.0871</v>
      </c>
      <c r="BI47" s="21">
        <v>0.0871</v>
      </c>
      <c r="BJ47" s="21">
        <v>0.0871</v>
      </c>
      <c r="BK47" s="51">
        <f t="shared" si="31"/>
        <v>0</v>
      </c>
      <c r="BL47" s="51" t="s">
        <v>250</v>
      </c>
      <c r="BM47" s="21">
        <v>0.08674</v>
      </c>
      <c r="BN47" s="21">
        <v>0.08674</v>
      </c>
      <c r="BO47" s="21">
        <v>0.08674</v>
      </c>
      <c r="BP47" s="21">
        <v>0.0857</v>
      </c>
      <c r="BQ47" s="21">
        <v>0.0857</v>
      </c>
      <c r="BR47" s="21">
        <v>0.0857</v>
      </c>
      <c r="BS47" s="51">
        <f t="shared" si="32"/>
        <v>0</v>
      </c>
      <c r="BT47" s="51" t="s">
        <v>250</v>
      </c>
      <c r="BU47" s="21">
        <v>0.08784</v>
      </c>
      <c r="BV47" s="21">
        <v>0.08784</v>
      </c>
      <c r="BW47" s="21">
        <v>0.08784</v>
      </c>
      <c r="BX47" s="166">
        <v>0.0855</v>
      </c>
      <c r="BY47" s="166">
        <v>0.0855</v>
      </c>
      <c r="BZ47" s="166">
        <v>0.0855</v>
      </c>
      <c r="CA47" s="51">
        <f t="shared" si="33"/>
        <v>0</v>
      </c>
      <c r="CB47" s="51" t="s">
        <v>250</v>
      </c>
      <c r="CC47" s="21">
        <v>0.10684</v>
      </c>
      <c r="CD47" s="21">
        <v>0.08784</v>
      </c>
      <c r="CE47" s="141">
        <v>0.08784</v>
      </c>
      <c r="CF47" s="141">
        <v>0.08784</v>
      </c>
      <c r="CG47" s="21">
        <v>0.0933</v>
      </c>
      <c r="CH47" s="21">
        <v>0.0933</v>
      </c>
      <c r="CI47" s="51">
        <f t="shared" si="34"/>
        <v>0</v>
      </c>
      <c r="CJ47" s="51" t="s">
        <v>250</v>
      </c>
      <c r="CK47" s="21">
        <v>0.11</v>
      </c>
      <c r="CL47" s="21">
        <v>0.11</v>
      </c>
      <c r="CM47" s="21">
        <v>0.11</v>
      </c>
      <c r="CN47" s="166">
        <v>0.0955</v>
      </c>
      <c r="CO47" s="166">
        <v>0.0955</v>
      </c>
      <c r="CP47" s="166">
        <v>0.0955</v>
      </c>
      <c r="CQ47" s="51">
        <f t="shared" si="35"/>
        <v>0</v>
      </c>
      <c r="CR47" s="51" t="s">
        <v>250</v>
      </c>
      <c r="CS47" s="21">
        <v>0.17034</v>
      </c>
      <c r="CT47" s="21">
        <v>0.17034</v>
      </c>
      <c r="CU47" s="21">
        <v>0.17034</v>
      </c>
      <c r="CV47" s="166">
        <v>0.1505</v>
      </c>
      <c r="CW47" s="166">
        <v>0.1505</v>
      </c>
      <c r="CX47" s="166">
        <v>0.1505</v>
      </c>
      <c r="CY47" s="51">
        <f t="shared" si="36"/>
        <v>0</v>
      </c>
      <c r="CZ47" s="51" t="s">
        <v>250</v>
      </c>
      <c r="DA47" s="51">
        <v>0.09626137803949367</v>
      </c>
      <c r="DB47" s="103">
        <f>IF(DB40=0,0,DB46/DB40)</f>
        <v>0.09617462730887834</v>
      </c>
      <c r="DC47" s="51" t="e">
        <f>IF(DC40=0,0,DC46/DC40)</f>
        <v>#REF!</v>
      </c>
      <c r="DD47" s="51" t="e">
        <f t="shared" si="37"/>
        <v>#REF!</v>
      </c>
      <c r="DE47" s="86" t="s">
        <v>250</v>
      </c>
    </row>
    <row r="48" spans="1:109" ht="15.75">
      <c r="A48" s="98" t="s">
        <v>75</v>
      </c>
      <c r="B48" s="48" t="s">
        <v>38</v>
      </c>
      <c r="C48" s="10" t="s">
        <v>0</v>
      </c>
      <c r="D48" s="117">
        <v>0</v>
      </c>
      <c r="E48" s="117">
        <v>0</v>
      </c>
      <c r="F48" s="117">
        <v>0</v>
      </c>
      <c r="G48" s="17">
        <v>0</v>
      </c>
      <c r="H48" s="117">
        <v>0</v>
      </c>
      <c r="I48" s="117">
        <v>0</v>
      </c>
      <c r="J48" s="117">
        <v>0</v>
      </c>
      <c r="K48" s="52">
        <f>J48-I48</f>
        <v>0</v>
      </c>
      <c r="L48" s="109">
        <f t="shared" si="38"/>
        <v>0</v>
      </c>
      <c r="M48" s="117">
        <v>0</v>
      </c>
      <c r="N48" s="117">
        <v>0</v>
      </c>
      <c r="O48" s="117">
        <v>0</v>
      </c>
      <c r="P48" s="117">
        <v>0</v>
      </c>
      <c r="Q48" s="117">
        <v>0</v>
      </c>
      <c r="R48" s="117">
        <v>0</v>
      </c>
      <c r="S48" s="117">
        <v>0</v>
      </c>
      <c r="T48" s="52">
        <f>S48-R48</f>
        <v>0</v>
      </c>
      <c r="U48" s="109">
        <f>IF(R48=0,0,T48/R48)</f>
        <v>0</v>
      </c>
      <c r="V48" s="117">
        <v>0</v>
      </c>
      <c r="W48" s="117">
        <v>0</v>
      </c>
      <c r="X48" s="117">
        <v>0</v>
      </c>
      <c r="Y48" s="117">
        <v>0</v>
      </c>
      <c r="Z48" s="117">
        <v>0</v>
      </c>
      <c r="AA48" s="117">
        <v>0</v>
      </c>
      <c r="AB48" s="117">
        <v>0</v>
      </c>
      <c r="AC48" s="52">
        <f>AB48-AA48</f>
        <v>0</v>
      </c>
      <c r="AD48" s="109">
        <f>IF(AA48=0,0,AC48/AA48)</f>
        <v>0</v>
      </c>
      <c r="AE48" s="117">
        <v>0</v>
      </c>
      <c r="AF48" s="117">
        <v>0</v>
      </c>
      <c r="AG48" s="117">
        <v>0</v>
      </c>
      <c r="AH48" s="117">
        <v>0</v>
      </c>
      <c r="AI48" s="117">
        <v>0</v>
      </c>
      <c r="AJ48" s="117">
        <v>0</v>
      </c>
      <c r="AK48" s="117">
        <v>0</v>
      </c>
      <c r="AL48" s="52">
        <f>AK48-AJ48</f>
        <v>0</v>
      </c>
      <c r="AM48" s="109">
        <f>IF(AJ48=0,0,AL48/AJ48)</f>
        <v>0</v>
      </c>
      <c r="AN48" s="117">
        <v>0</v>
      </c>
      <c r="AO48" s="117">
        <v>0</v>
      </c>
      <c r="AP48" s="117">
        <v>0</v>
      </c>
      <c r="AQ48" s="117">
        <v>0</v>
      </c>
      <c r="AR48" s="117">
        <v>0</v>
      </c>
      <c r="AS48" s="117">
        <v>0</v>
      </c>
      <c r="AT48" s="117">
        <v>0</v>
      </c>
      <c r="AU48" s="52">
        <f>AT48-AS48</f>
        <v>0</v>
      </c>
      <c r="AV48" s="109">
        <f>IF(AS48=0,0,AU48/AS48)</f>
        <v>0</v>
      </c>
      <c r="AW48" s="117">
        <v>0</v>
      </c>
      <c r="AX48" s="117">
        <v>0</v>
      </c>
      <c r="AY48" s="117">
        <v>0</v>
      </c>
      <c r="AZ48" s="117">
        <v>0</v>
      </c>
      <c r="BA48" s="117"/>
      <c r="BB48" s="117">
        <v>0</v>
      </c>
      <c r="BC48" s="52">
        <f>BB48-BA48</f>
        <v>0</v>
      </c>
      <c r="BD48" s="109">
        <f>IF(BA48=0,0,BC48/BA48)</f>
        <v>0</v>
      </c>
      <c r="BE48" s="117">
        <v>0</v>
      </c>
      <c r="BF48" s="117">
        <v>0</v>
      </c>
      <c r="BG48" s="117">
        <v>0</v>
      </c>
      <c r="BH48" s="117">
        <v>0</v>
      </c>
      <c r="BI48" s="117">
        <v>0</v>
      </c>
      <c r="BJ48" s="117">
        <v>0</v>
      </c>
      <c r="BK48" s="52">
        <f>BJ48-BI48</f>
        <v>0</v>
      </c>
      <c r="BL48" s="109">
        <f>IF(BI48=0,0,BK48/BI48)</f>
        <v>0</v>
      </c>
      <c r="BM48" s="117">
        <v>0</v>
      </c>
      <c r="BN48" s="117">
        <v>0</v>
      </c>
      <c r="BO48" s="117">
        <v>0</v>
      </c>
      <c r="BP48" s="117">
        <v>0</v>
      </c>
      <c r="BQ48" s="117"/>
      <c r="BR48" s="117">
        <v>0</v>
      </c>
      <c r="BS48" s="52">
        <f>BR48-BQ48</f>
        <v>0</v>
      </c>
      <c r="BT48" s="109">
        <f>IF(BQ48=0,0,BS48/BQ48)</f>
        <v>0</v>
      </c>
      <c r="BU48" s="117">
        <v>0</v>
      </c>
      <c r="BV48" s="117">
        <v>0</v>
      </c>
      <c r="BW48" s="117">
        <v>0</v>
      </c>
      <c r="BX48" s="117">
        <v>0</v>
      </c>
      <c r="BY48" s="117">
        <v>0</v>
      </c>
      <c r="BZ48" s="117">
        <v>0</v>
      </c>
      <c r="CA48" s="52">
        <f>BZ48-BY48</f>
        <v>0</v>
      </c>
      <c r="CB48" s="109">
        <f>IF(BY48=0,0,CA48/BY48)</f>
        <v>0</v>
      </c>
      <c r="CC48" s="117">
        <v>0</v>
      </c>
      <c r="CD48" s="117">
        <v>0</v>
      </c>
      <c r="CE48" s="141">
        <v>0</v>
      </c>
      <c r="CF48" s="141">
        <v>0</v>
      </c>
      <c r="CG48" s="117">
        <v>0</v>
      </c>
      <c r="CH48" s="141">
        <v>0</v>
      </c>
      <c r="CI48" s="52">
        <f>CH48-CG48</f>
        <v>0</v>
      </c>
      <c r="CJ48" s="109">
        <f>IF(CG48=0,0,CI48/CG48)</f>
        <v>0</v>
      </c>
      <c r="CK48" s="117">
        <v>0</v>
      </c>
      <c r="CL48" s="117">
        <v>0</v>
      </c>
      <c r="CM48" s="117">
        <v>0</v>
      </c>
      <c r="CN48" s="117">
        <v>0</v>
      </c>
      <c r="CO48" s="117">
        <v>0</v>
      </c>
      <c r="CP48" s="117">
        <v>0</v>
      </c>
      <c r="CQ48" s="52">
        <f>CP48-CO48</f>
        <v>0</v>
      </c>
      <c r="CR48" s="109">
        <f>IF(CO48=0,0,CQ48/CO48)</f>
        <v>0</v>
      </c>
      <c r="CS48" s="117">
        <v>0</v>
      </c>
      <c r="CT48" s="117">
        <v>0</v>
      </c>
      <c r="CU48" s="117">
        <v>0</v>
      </c>
      <c r="CV48" s="117">
        <v>0</v>
      </c>
      <c r="CW48" s="117">
        <v>0</v>
      </c>
      <c r="CX48" s="117">
        <v>0</v>
      </c>
      <c r="CY48" s="52">
        <f t="shared" si="36"/>
        <v>0</v>
      </c>
      <c r="CZ48" s="109">
        <f>IF(CW48=0,0,CY48/CW48)</f>
        <v>0</v>
      </c>
      <c r="DA48" s="142">
        <v>0</v>
      </c>
      <c r="DB48" s="84">
        <f>I48+R48+AA48+AJ48+AS48+BA48+BI48+BQ48+BY48+CG48+CO48+CW48</f>
        <v>0</v>
      </c>
      <c r="DC48" s="106" t="e">
        <f>IF(#REF!&gt;=1,J48,I48)+IF(#REF!&gt;=2,S48,R48)+IF(#REF!&gt;=3,AB48,AA48)+IF(#REF!&gt;=4,AK48,AJ48)+IF(#REF!&gt;=5,AT48,AS48)+IF(#REF!&gt;=6,BB48,BA48)+IF(#REF!&gt;=7,BJ48,BI48)+IF(#REF!&gt;=8,BR48,BQ48)+IF(#REF!&gt;=9,BZ48,BY48)+IF(#REF!&gt;=10,CH48,CG48)+IF(#REF!&gt;=11,CP48,CO48)+IF(#REF!&gt;=12,CX48,CW48)</f>
        <v>#REF!</v>
      </c>
      <c r="DD48" s="52" t="e">
        <f>DC48-DB48</f>
        <v>#REF!</v>
      </c>
      <c r="DE48" s="113">
        <f>IF(DB48=0,0,DD48/DB48)</f>
        <v>0</v>
      </c>
    </row>
    <row r="49" spans="1:109" ht="15.75">
      <c r="A49" s="98" t="s">
        <v>76</v>
      </c>
      <c r="B49" s="47" t="s">
        <v>39</v>
      </c>
      <c r="C49" s="10" t="s">
        <v>36</v>
      </c>
      <c r="D49" s="52">
        <f aca="true" t="shared" si="76" ref="D49:J49">D40-D46-D48</f>
        <v>48371.020445088</v>
      </c>
      <c r="E49" s="52">
        <f t="shared" si="76"/>
        <v>46212.10382493</v>
      </c>
      <c r="F49" s="52">
        <f t="shared" si="76"/>
        <v>46116.5626296</v>
      </c>
      <c r="G49" s="52">
        <f t="shared" si="76"/>
        <v>45069.455258400005</v>
      </c>
      <c r="H49" s="52">
        <f t="shared" si="76"/>
        <v>42815.4421435</v>
      </c>
      <c r="I49" s="52">
        <f t="shared" si="76"/>
        <v>44499.26544049999</v>
      </c>
      <c r="J49" s="52">
        <f t="shared" si="76"/>
        <v>46184.4458595</v>
      </c>
      <c r="K49" s="52">
        <f t="shared" si="0"/>
        <v>1685.1804190000112</v>
      </c>
      <c r="L49" s="109">
        <f t="shared" si="38"/>
        <v>0.037869848014755826</v>
      </c>
      <c r="M49" s="52">
        <f aca="true" t="shared" si="77" ref="M49:S49">M40-M46-M48</f>
        <v>41944.8424892</v>
      </c>
      <c r="N49" s="52">
        <f t="shared" si="77"/>
        <v>41090.19188514</v>
      </c>
      <c r="O49" s="52">
        <f t="shared" si="77"/>
        <v>41997.790993200004</v>
      </c>
      <c r="P49" s="52">
        <f t="shared" si="77"/>
        <v>39963.394548</v>
      </c>
      <c r="Q49" s="52">
        <f t="shared" si="77"/>
        <v>40216.2857838</v>
      </c>
      <c r="R49" s="52">
        <f t="shared" si="77"/>
        <v>41489.77283359999</v>
      </c>
      <c r="S49" s="52">
        <f t="shared" si="77"/>
        <v>43543.59258900001</v>
      </c>
      <c r="T49" s="52">
        <f aca="true" t="shared" si="78" ref="T49:T63">S49-R49</f>
        <v>2053.8197554000144</v>
      </c>
      <c r="U49" s="109">
        <f>IF(R49=0,0,T49/R49)</f>
        <v>0.049501831780017685</v>
      </c>
      <c r="V49" s="52">
        <f aca="true" t="shared" si="79" ref="V49:AB49">V40-V46-V48</f>
        <v>42758.6236</v>
      </c>
      <c r="W49" s="52">
        <f t="shared" si="79"/>
        <v>42321.40436804001</v>
      </c>
      <c r="X49" s="52">
        <f t="shared" si="79"/>
        <v>44041.83742640001</v>
      </c>
      <c r="Y49" s="52">
        <f t="shared" si="79"/>
        <v>41024.31736796</v>
      </c>
      <c r="Z49" s="52">
        <f t="shared" si="79"/>
        <v>40421.024838</v>
      </c>
      <c r="AA49" s="52">
        <f t="shared" si="79"/>
        <v>42338.5382376</v>
      </c>
      <c r="AB49" s="52">
        <f t="shared" si="79"/>
        <v>43938.903762</v>
      </c>
      <c r="AC49" s="52">
        <f aca="true" t="shared" si="80" ref="AC49:AC63">AB49-AA49</f>
        <v>1600.3655244000038</v>
      </c>
      <c r="AD49" s="109">
        <f>IF(AA49=0,0,AC49/AA49)</f>
        <v>0.03779926258717056</v>
      </c>
      <c r="AE49" s="52">
        <f aca="true" t="shared" si="81" ref="AE49:AK49">AE40-AE46-AE48</f>
        <v>39041.401660799995</v>
      </c>
      <c r="AF49" s="52">
        <f t="shared" si="81"/>
        <v>39367.26100159999</v>
      </c>
      <c r="AG49" s="52">
        <f t="shared" si="81"/>
        <v>39515.9756768</v>
      </c>
      <c r="AH49" s="52">
        <f t="shared" si="81"/>
        <v>36930.8257024</v>
      </c>
      <c r="AI49" s="52">
        <f t="shared" si="81"/>
        <v>35471.1133952</v>
      </c>
      <c r="AJ49" s="52">
        <f t="shared" si="81"/>
        <v>38663.8827344</v>
      </c>
      <c r="AK49" s="52">
        <f t="shared" si="81"/>
        <v>38927.203898</v>
      </c>
      <c r="AL49" s="52">
        <f aca="true" t="shared" si="82" ref="AL49:AL63">AK49-AJ49</f>
        <v>263.3211635999978</v>
      </c>
      <c r="AM49" s="109">
        <f>IF(AJ49=0,0,AL49/AJ49)</f>
        <v>0.006810520438644821</v>
      </c>
      <c r="AN49" s="52">
        <f aca="true" t="shared" si="83" ref="AN49:AT49">AN40-AN46-AN48</f>
        <v>36291.588265499995</v>
      </c>
      <c r="AO49" s="52">
        <f t="shared" si="83"/>
        <v>35866.4629575</v>
      </c>
      <c r="AP49" s="52">
        <f t="shared" si="83"/>
        <v>34941.7383585</v>
      </c>
      <c r="AQ49" s="52">
        <f t="shared" si="83"/>
        <v>35084.696701500005</v>
      </c>
      <c r="AR49" s="52">
        <f t="shared" si="83"/>
        <v>32749.958619099994</v>
      </c>
      <c r="AS49" s="52">
        <f t="shared" si="83"/>
        <v>35862.964903800006</v>
      </c>
      <c r="AT49" s="52">
        <f t="shared" si="83"/>
        <v>35698.913980200006</v>
      </c>
      <c r="AU49" s="52">
        <f aca="true" t="shared" si="84" ref="AU49:AU63">AT49-AS49</f>
        <v>-164.0509235999998</v>
      </c>
      <c r="AV49" s="109">
        <f>IF(AS49=0,0,AU49/AS49)</f>
        <v>-0.0045743826267587015</v>
      </c>
      <c r="AW49" s="52">
        <f>AW40-AW46-AW48</f>
        <v>33982.9513474</v>
      </c>
      <c r="AX49" s="52">
        <f>AX40-AX46-AX48</f>
        <v>35434.936563400006</v>
      </c>
      <c r="AY49" s="52">
        <f>AY40-AY46-AY48</f>
        <v>34719.403532</v>
      </c>
      <c r="AZ49" s="52">
        <f>AZ40-AZ46-AZ48</f>
        <v>31889.3642364</v>
      </c>
      <c r="BA49" s="52">
        <f>BA40-BA46-BA50</f>
        <v>36720.428</v>
      </c>
      <c r="BB49" s="52">
        <f>BB40-BB46-BB48</f>
        <v>37380.406696599995</v>
      </c>
      <c r="BC49" s="52">
        <f aca="true" t="shared" si="85" ref="BC49:BC63">BB49-BA49</f>
        <v>659.9786965999956</v>
      </c>
      <c r="BD49" s="109">
        <f>IF(BA49=0,0,BC49/BA49)</f>
        <v>0.01797306656120663</v>
      </c>
      <c r="BE49" s="52">
        <f aca="true" t="shared" si="86" ref="BE49:BJ49">BE40-BE46-BE48</f>
        <v>35568.86624999999</v>
      </c>
      <c r="BF49" s="52">
        <f t="shared" si="86"/>
        <v>38493.5897088</v>
      </c>
      <c r="BG49" s="52">
        <f t="shared" si="86"/>
        <v>34835.187690900006</v>
      </c>
      <c r="BH49" s="52">
        <f t="shared" si="86"/>
        <v>37493.303269200005</v>
      </c>
      <c r="BI49" s="52">
        <f t="shared" si="86"/>
        <v>36595.591186499994</v>
      </c>
      <c r="BJ49" s="52">
        <f t="shared" si="86"/>
        <v>38437.3605462</v>
      </c>
      <c r="BK49" s="52">
        <f aca="true" t="shared" si="87" ref="BK49:BK63">BJ49-BI49</f>
        <v>1841.7693597000034</v>
      </c>
      <c r="BL49" s="109">
        <f>IF(BI49=0,0,BK49/BI49)</f>
        <v>0.05032762964024548</v>
      </c>
      <c r="BM49" s="52">
        <f aca="true" t="shared" si="88" ref="BM49:BR49">BM40-BM46-BM48</f>
        <v>36295.64743026001</v>
      </c>
      <c r="BN49" s="52">
        <f t="shared" si="88"/>
        <v>36302.08865304</v>
      </c>
      <c r="BO49" s="52">
        <f t="shared" si="88"/>
        <v>34875.34547826</v>
      </c>
      <c r="BP49" s="52">
        <f t="shared" si="88"/>
        <v>34464.0639783</v>
      </c>
      <c r="BQ49" s="52">
        <f>BQ40-BQ46-BQ50</f>
        <v>35553.055</v>
      </c>
      <c r="BR49" s="52">
        <f t="shared" si="88"/>
        <v>40780.18003750001</v>
      </c>
      <c r="BS49" s="52">
        <f aca="true" t="shared" si="89" ref="BS49:BS63">BR49-BQ49</f>
        <v>5227.125037500009</v>
      </c>
      <c r="BT49" s="109">
        <f>IF(BQ49=0,0,BS49/BQ49)</f>
        <v>0.14702323154789396</v>
      </c>
      <c r="BU49" s="52">
        <f aca="true" t="shared" si="90" ref="BU49:BZ49">BU40-BU46-BU48</f>
        <v>36736.9566696</v>
      </c>
      <c r="BV49" s="52">
        <f t="shared" si="90"/>
        <v>34854.88052272</v>
      </c>
      <c r="BW49" s="52">
        <f t="shared" si="90"/>
        <v>36740.2495672</v>
      </c>
      <c r="BX49" s="52">
        <f t="shared" si="90"/>
        <v>35477.957998000005</v>
      </c>
      <c r="BY49" s="52">
        <f t="shared" si="90"/>
        <v>35472.417957</v>
      </c>
      <c r="BZ49" s="52">
        <f t="shared" si="90"/>
        <v>37120.59935900001</v>
      </c>
      <c r="CA49" s="52">
        <f aca="true" t="shared" si="91" ref="CA49:CA63">BZ49-BY49</f>
        <v>1648.1814020000093</v>
      </c>
      <c r="CB49" s="109">
        <f>IF(BY49=0,0,CA49/BY49)</f>
        <v>0.04646374555007641</v>
      </c>
      <c r="CC49" s="52">
        <f aca="true" t="shared" si="92" ref="CC49:CH49">CC40-CC46-CC48</f>
        <v>41159.5280064</v>
      </c>
      <c r="CD49" s="52">
        <f t="shared" si="92"/>
        <v>41130.55044432</v>
      </c>
      <c r="CE49" s="152">
        <f t="shared" si="92"/>
        <v>39716.36403296</v>
      </c>
      <c r="CF49" s="152">
        <f t="shared" si="92"/>
        <v>37913.02006432</v>
      </c>
      <c r="CG49" s="52">
        <f t="shared" si="92"/>
        <v>39721.049985699996</v>
      </c>
      <c r="CH49" s="152">
        <f t="shared" si="92"/>
        <v>40133.6982227</v>
      </c>
      <c r="CI49" s="52">
        <f aca="true" t="shared" si="93" ref="CI49:CI63">CH49-CG49</f>
        <v>412.64823700000125</v>
      </c>
      <c r="CJ49" s="109">
        <f>IF(CG49=0,0,CI49/CG49)</f>
        <v>0.01038865380317386</v>
      </c>
      <c r="CK49" s="52">
        <f aca="true" t="shared" si="94" ref="CK49:CP49">CK40-CK46-CK48</f>
        <v>41387.142230000005</v>
      </c>
      <c r="CL49" s="52">
        <f t="shared" si="94"/>
        <v>42599.83932</v>
      </c>
      <c r="CM49" s="52">
        <f t="shared" si="94"/>
        <v>41417.674569999996</v>
      </c>
      <c r="CN49" s="52">
        <f t="shared" si="94"/>
        <v>42376.143383999995</v>
      </c>
      <c r="CO49" s="52">
        <f t="shared" si="94"/>
        <v>42023.941938</v>
      </c>
      <c r="CP49" s="52">
        <f t="shared" si="94"/>
        <v>42002.8082955</v>
      </c>
      <c r="CQ49" s="52">
        <f aca="true" t="shared" si="95" ref="CQ49:CQ63">CP49-CO49</f>
        <v>-21.1336425000045</v>
      </c>
      <c r="CR49" s="109">
        <f>IF(CO49=0,0,CQ49/CO49)</f>
        <v>-0.0005028952907650597</v>
      </c>
      <c r="CS49" s="52">
        <f aca="true" t="shared" si="96" ref="CS49:CX49">CS40-CS46-CS48</f>
        <v>43338.418437600005</v>
      </c>
      <c r="CT49" s="52">
        <f t="shared" si="96"/>
        <v>43482.57352192</v>
      </c>
      <c r="CU49" s="120">
        <f t="shared" si="96"/>
        <v>41992.74559298</v>
      </c>
      <c r="CV49" s="120">
        <f t="shared" si="96"/>
        <v>45252.2644035</v>
      </c>
      <c r="CW49" s="52">
        <f t="shared" si="96"/>
        <v>43393.985702000005</v>
      </c>
      <c r="CX49" s="120">
        <f t="shared" si="96"/>
        <v>44586.620839</v>
      </c>
      <c r="CY49" s="52">
        <f t="shared" si="36"/>
        <v>1192.6351369999975</v>
      </c>
      <c r="CZ49" s="109">
        <f>IF(CW49=0,0,CY49/CW49)</f>
        <v>0.027483880950466128</v>
      </c>
      <c r="DA49" s="52">
        <v>482956.86672019993</v>
      </c>
      <c r="DB49" s="84">
        <f>DB40-DB46-DB48</f>
        <v>470706.83114530006</v>
      </c>
      <c r="DC49" s="52" t="e">
        <f>DC40-DC46-DC48</f>
        <v>#REF!</v>
      </c>
      <c r="DD49" s="52" t="e">
        <f aca="true" t="shared" si="97" ref="DD49:DD62">DC49-DB49</f>
        <v>#REF!</v>
      </c>
      <c r="DE49" s="113" t="e">
        <f>IF(DB49=0,0,DD49/DB49)</f>
        <v>#REF!</v>
      </c>
    </row>
    <row r="50" spans="1:109" ht="15.75">
      <c r="A50" s="98" t="s">
        <v>77</v>
      </c>
      <c r="B50" s="220" t="s">
        <v>40</v>
      </c>
      <c r="C50" s="10" t="s">
        <v>36</v>
      </c>
      <c r="D50" s="52">
        <f aca="true" t="shared" si="98" ref="D50:J50">D49-D52</f>
        <v>-125.1425549120031</v>
      </c>
      <c r="E50" s="52">
        <f t="shared" si="98"/>
        <v>-1919.9501750700001</v>
      </c>
      <c r="F50" s="52">
        <f t="shared" si="98"/>
        <v>-1319.2263703999997</v>
      </c>
      <c r="G50" s="52">
        <f t="shared" si="98"/>
        <v>-1231.775741599995</v>
      </c>
      <c r="H50" s="52">
        <f t="shared" si="98"/>
        <v>-839.5348565000022</v>
      </c>
      <c r="I50" s="52">
        <f t="shared" si="98"/>
        <v>-538.9795595000032</v>
      </c>
      <c r="J50" s="52">
        <f t="shared" si="98"/>
        <v>663.2218595000013</v>
      </c>
      <c r="K50" s="52">
        <f t="shared" si="0"/>
        <v>1202.2014190000045</v>
      </c>
      <c r="L50" s="52" t="s">
        <v>250</v>
      </c>
      <c r="M50" s="52">
        <f aca="true" t="shared" si="99" ref="M50:S50">M49-M52</f>
        <v>-5063.207510799999</v>
      </c>
      <c r="N50" s="52">
        <f t="shared" si="99"/>
        <v>-3452.4291148600023</v>
      </c>
      <c r="O50" s="52">
        <f t="shared" si="99"/>
        <v>-2443.170006799992</v>
      </c>
      <c r="P50" s="52">
        <f t="shared" si="99"/>
        <v>-3433.603452000003</v>
      </c>
      <c r="Q50" s="52">
        <f t="shared" si="99"/>
        <v>-1938.0672162000046</v>
      </c>
      <c r="R50" s="52">
        <f t="shared" si="99"/>
        <v>-1878.5801664000028</v>
      </c>
      <c r="S50" s="52">
        <f t="shared" si="99"/>
        <v>-839.5384109999868</v>
      </c>
      <c r="T50" s="52">
        <f t="shared" si="78"/>
        <v>1039.041755400016</v>
      </c>
      <c r="U50" s="52" t="s">
        <v>250</v>
      </c>
      <c r="V50" s="52">
        <f aca="true" t="shared" si="100" ref="V50:AB50">V49-V52</f>
        <v>-266.2013999999981</v>
      </c>
      <c r="W50" s="52">
        <f t="shared" si="100"/>
        <v>737.501368040008</v>
      </c>
      <c r="X50" s="52">
        <f t="shared" si="100"/>
        <v>953.5444264000107</v>
      </c>
      <c r="Y50" s="52">
        <f t="shared" si="100"/>
        <v>954.7773679599995</v>
      </c>
      <c r="Z50" s="52">
        <f t="shared" si="100"/>
        <v>1788.983838</v>
      </c>
      <c r="AA50" s="52">
        <f t="shared" si="100"/>
        <v>1992.4972376000005</v>
      </c>
      <c r="AB50" s="52">
        <f t="shared" si="100"/>
        <v>967.5287620000017</v>
      </c>
      <c r="AC50" s="52">
        <f t="shared" si="80"/>
        <v>-1024.9684755999988</v>
      </c>
      <c r="AD50" s="52" t="s">
        <v>250</v>
      </c>
      <c r="AE50" s="52">
        <f aca="true" t="shared" si="101" ref="AE50:AK50">AE49-AE52</f>
        <v>-700.4493392000004</v>
      </c>
      <c r="AF50" s="52">
        <f t="shared" si="101"/>
        <v>-850.4509984000106</v>
      </c>
      <c r="AG50" s="52">
        <f t="shared" si="101"/>
        <v>-1383.186323199996</v>
      </c>
      <c r="AH50" s="52">
        <f t="shared" si="101"/>
        <v>-591.4672976000074</v>
      </c>
      <c r="AI50" s="52">
        <f t="shared" si="101"/>
        <v>-339.5846048000021</v>
      </c>
      <c r="AJ50" s="52">
        <f t="shared" si="101"/>
        <v>12.424734400003217</v>
      </c>
      <c r="AK50" s="52">
        <f t="shared" si="101"/>
        <v>377.56089800000336</v>
      </c>
      <c r="AL50" s="52">
        <f t="shared" si="82"/>
        <v>365.13616360000015</v>
      </c>
      <c r="AM50" s="52" t="s">
        <v>250</v>
      </c>
      <c r="AN50" s="52">
        <f aca="true" t="shared" si="102" ref="AN50:AT50">AN49-AN52</f>
        <v>-595.3977345000021</v>
      </c>
      <c r="AO50" s="52">
        <f t="shared" si="102"/>
        <v>-75.43804249999812</v>
      </c>
      <c r="AP50" s="52">
        <f t="shared" si="102"/>
        <v>-78.85564149999846</v>
      </c>
      <c r="AQ50" s="52">
        <f t="shared" si="102"/>
        <v>-280.16929849999724</v>
      </c>
      <c r="AR50" s="52">
        <f t="shared" si="102"/>
        <v>696.9336190999929</v>
      </c>
      <c r="AS50" s="52">
        <f t="shared" si="102"/>
        <v>48.72990380000556</v>
      </c>
      <c r="AT50" s="52">
        <f t="shared" si="102"/>
        <v>-596.372019800001</v>
      </c>
      <c r="AU50" s="52">
        <f t="shared" si="84"/>
        <v>-645.1019236000066</v>
      </c>
      <c r="AV50" s="52" t="s">
        <v>250</v>
      </c>
      <c r="AW50" s="52">
        <f>AW49-AW52</f>
        <v>-2694.6076526000106</v>
      </c>
      <c r="AX50" s="52">
        <f>AX49-AX52</f>
        <v>-1512.6614365999922</v>
      </c>
      <c r="AY50" s="52">
        <f>AY49-AY52</f>
        <v>-1427.351468000008</v>
      </c>
      <c r="AZ50" s="52">
        <f>AZ49-AZ52</f>
        <v>-1465.7397635999987</v>
      </c>
      <c r="BA50" s="52">
        <f>BA40-BA46-BA52</f>
        <v>-1397.4449353999953</v>
      </c>
      <c r="BB50" s="52">
        <f>BB49-BB52</f>
        <v>1131.6286965999898</v>
      </c>
      <c r="BC50" s="52">
        <f t="shared" si="85"/>
        <v>2529.073631999985</v>
      </c>
      <c r="BD50" s="52" t="s">
        <v>250</v>
      </c>
      <c r="BE50" s="52">
        <f aca="true" t="shared" si="103" ref="BE50:BJ50">BE49-BE52</f>
        <v>2356.188249999992</v>
      </c>
      <c r="BF50" s="52">
        <f t="shared" si="103"/>
        <v>2035.6547088000007</v>
      </c>
      <c r="BG50" s="52">
        <f t="shared" si="103"/>
        <v>895.2176909000045</v>
      </c>
      <c r="BH50" s="52">
        <f t="shared" si="103"/>
        <v>1711.0092692000107</v>
      </c>
      <c r="BI50" s="52">
        <f t="shared" si="103"/>
        <v>1559.040186499995</v>
      </c>
      <c r="BJ50" s="52">
        <f t="shared" si="103"/>
        <v>-883.1444538000069</v>
      </c>
      <c r="BK50" s="52">
        <f t="shared" si="87"/>
        <v>-2442.184640300002</v>
      </c>
      <c r="BL50" s="52" t="s">
        <v>250</v>
      </c>
      <c r="BM50" s="52">
        <f aca="true" t="shared" si="104" ref="BM50:BR50">BM49-BM52</f>
        <v>-427.4475697399903</v>
      </c>
      <c r="BN50" s="52">
        <f t="shared" si="104"/>
        <v>-1232.9513469599988</v>
      </c>
      <c r="BO50" s="52">
        <f t="shared" si="104"/>
        <v>-113.70952173999831</v>
      </c>
      <c r="BP50" s="52">
        <f t="shared" si="104"/>
        <v>-248.51402170000074</v>
      </c>
      <c r="BQ50" s="52">
        <f>BQ40-BQ46-BQ52</f>
        <v>-230.61783840000135</v>
      </c>
      <c r="BR50" s="52">
        <f t="shared" si="104"/>
        <v>349.6000375000076</v>
      </c>
      <c r="BS50" s="52">
        <f t="shared" si="89"/>
        <v>580.217875900009</v>
      </c>
      <c r="BT50" s="52" t="s">
        <v>250</v>
      </c>
      <c r="BU50" s="52">
        <f aca="true" t="shared" si="105" ref="BU50:BZ50">BU49-BU52</f>
        <v>560.3336695999897</v>
      </c>
      <c r="BV50" s="52">
        <f t="shared" si="105"/>
        <v>-15.786477280002146</v>
      </c>
      <c r="BW50" s="52">
        <f t="shared" si="105"/>
        <v>1198.3435671999978</v>
      </c>
      <c r="BX50" s="52">
        <f t="shared" si="105"/>
        <v>-279.1640019999977</v>
      </c>
      <c r="BY50" s="52">
        <f t="shared" si="105"/>
        <v>116.51195699999516</v>
      </c>
      <c r="BZ50" s="52">
        <f t="shared" si="105"/>
        <v>-1017.2606409999935</v>
      </c>
      <c r="CA50" s="52">
        <f t="shared" si="91"/>
        <v>-1133.7725979999886</v>
      </c>
      <c r="CB50" s="52" t="s">
        <v>250</v>
      </c>
      <c r="CC50" s="52">
        <f aca="true" t="shared" si="106" ref="CC50:CH50">CC49-CC52</f>
        <v>-492.285993599995</v>
      </c>
      <c r="CD50" s="52">
        <f t="shared" si="106"/>
        <v>1231.329444319992</v>
      </c>
      <c r="CE50" s="152">
        <f t="shared" si="106"/>
        <v>45.16603295999812</v>
      </c>
      <c r="CF50" s="152">
        <f t="shared" si="106"/>
        <v>497.628064320008</v>
      </c>
      <c r="CG50" s="52">
        <f t="shared" si="106"/>
        <v>-52.343014300000505</v>
      </c>
      <c r="CH50" s="152">
        <f t="shared" si="106"/>
        <v>1664.2812226999959</v>
      </c>
      <c r="CI50" s="52">
        <f t="shared" si="93"/>
        <v>1716.6242369999964</v>
      </c>
      <c r="CJ50" s="52" t="s">
        <v>250</v>
      </c>
      <c r="CK50" s="52">
        <f aca="true" t="shared" si="107" ref="CK50:CP50">CK49-CK52</f>
        <v>-1684.462769999991</v>
      </c>
      <c r="CL50" s="52">
        <f t="shared" si="107"/>
        <v>51.94431999999506</v>
      </c>
      <c r="CM50" s="52">
        <f t="shared" si="107"/>
        <v>160.83456999999908</v>
      </c>
      <c r="CN50" s="52">
        <f t="shared" si="107"/>
        <v>660.8173839999945</v>
      </c>
      <c r="CO50" s="52">
        <f t="shared" si="107"/>
        <v>230.03293800000392</v>
      </c>
      <c r="CP50" s="52">
        <f t="shared" si="107"/>
        <v>-226.50470449999557</v>
      </c>
      <c r="CQ50" s="52">
        <f t="shared" si="95"/>
        <v>-456.5376424999995</v>
      </c>
      <c r="CR50" s="52" t="s">
        <v>250</v>
      </c>
      <c r="CS50" s="52">
        <f aca="true" t="shared" si="108" ref="CS50:CX50">CS49-CS52</f>
        <v>-555.7745623999945</v>
      </c>
      <c r="CT50" s="52">
        <f t="shared" si="108"/>
        <v>-681.184478080002</v>
      </c>
      <c r="CU50" s="52">
        <f t="shared" si="108"/>
        <v>-1346.6734070199964</v>
      </c>
      <c r="CV50" s="52">
        <f t="shared" si="108"/>
        <v>211.4524034999995</v>
      </c>
      <c r="CW50" s="52">
        <f t="shared" si="108"/>
        <v>-654.4402980000013</v>
      </c>
      <c r="CX50" s="52">
        <f t="shared" si="108"/>
        <v>398.1558390000064</v>
      </c>
      <c r="CY50" s="52">
        <f t="shared" si="36"/>
        <v>1052.5961370000077</v>
      </c>
      <c r="CZ50" s="52" t="s">
        <v>250</v>
      </c>
      <c r="DA50" s="52">
        <v>919.6857201999519</v>
      </c>
      <c r="DB50" s="84">
        <f>DB49-DB52</f>
        <v>-793.1688546999358</v>
      </c>
      <c r="DC50" s="52" t="e">
        <f>DC49-DC52</f>
        <v>#REF!</v>
      </c>
      <c r="DD50" s="52" t="e">
        <f t="shared" si="97"/>
        <v>#REF!</v>
      </c>
      <c r="DE50" s="83" t="s">
        <v>250</v>
      </c>
    </row>
    <row r="51" spans="1:109" ht="15.75">
      <c r="A51" s="98" t="s">
        <v>78</v>
      </c>
      <c r="B51" s="220"/>
      <c r="C51" s="10" t="s">
        <v>1</v>
      </c>
      <c r="D51" s="51">
        <f aca="true" t="shared" si="109" ref="D51:J51">IF(D50=0,0,D50/D40)</f>
        <v>-0.0022788296717509773</v>
      </c>
      <c r="E51" s="51">
        <f t="shared" si="109"/>
        <v>-0.036595384601265116</v>
      </c>
      <c r="F51" s="51">
        <f t="shared" si="109"/>
        <v>-0.025196470005388136</v>
      </c>
      <c r="G51" s="52">
        <f t="shared" si="109"/>
        <v>-0.02407280201149234</v>
      </c>
      <c r="H51" s="51">
        <f t="shared" si="109"/>
        <v>-0.01746112505874821</v>
      </c>
      <c r="I51" s="51">
        <f t="shared" si="109"/>
        <v>-0.010785825181238318</v>
      </c>
      <c r="J51" s="51">
        <f t="shared" si="109"/>
        <v>0.012787834841224293</v>
      </c>
      <c r="K51" s="51">
        <f t="shared" si="0"/>
        <v>0.02357366002246261</v>
      </c>
      <c r="L51" s="51" t="s">
        <v>250</v>
      </c>
      <c r="M51" s="51">
        <f aca="true" t="shared" si="110" ref="M51:S51">IF(M50=0,0,M50/M40)</f>
        <v>-0.10638268055046272</v>
      </c>
      <c r="N51" s="51">
        <f t="shared" si="110"/>
        <v>-0.07404413418818377</v>
      </c>
      <c r="O51" s="51">
        <f t="shared" si="110"/>
        <v>-0.05126854713243034</v>
      </c>
      <c r="P51" s="51">
        <f t="shared" si="110"/>
        <v>-0.07572016232537593</v>
      </c>
      <c r="Q51" s="51">
        <f t="shared" si="110"/>
        <v>-0.04294309289624907</v>
      </c>
      <c r="R51" s="51">
        <f t="shared" si="110"/>
        <v>-0.040347359649156034</v>
      </c>
      <c r="S51" s="51">
        <f t="shared" si="110"/>
        <v>-0.017180775254430354</v>
      </c>
      <c r="T51" s="51">
        <f t="shared" si="78"/>
        <v>0.02316658439472568</v>
      </c>
      <c r="U51" s="51" t="s">
        <v>250</v>
      </c>
      <c r="V51" s="51">
        <f aca="true" t="shared" si="111" ref="V51:AB51">IF(V50=0,0,V50/V40)</f>
        <v>-0.005478596181940672</v>
      </c>
      <c r="W51" s="51">
        <f t="shared" si="111"/>
        <v>0.015334709789024474</v>
      </c>
      <c r="X51" s="51">
        <f t="shared" si="111"/>
        <v>0.019052339170583733</v>
      </c>
      <c r="Y51" s="51">
        <f t="shared" si="111"/>
        <v>0.020480169864170002</v>
      </c>
      <c r="Z51" s="51">
        <f t="shared" si="111"/>
        <v>0.040204644116579244</v>
      </c>
      <c r="AA51" s="51">
        <f t="shared" si="111"/>
        <v>0.04275028298044617</v>
      </c>
      <c r="AB51" s="51">
        <f t="shared" si="111"/>
        <v>0.02000284604644392</v>
      </c>
      <c r="AC51" s="51">
        <f t="shared" si="80"/>
        <v>-0.02274743693400225</v>
      </c>
      <c r="AD51" s="51" t="s">
        <v>250</v>
      </c>
      <c r="AE51" s="51">
        <f aca="true" t="shared" si="112" ref="AE51:AK51">IF(AE50=0,0,AE50/AE40)</f>
        <v>-0.016477192051411065</v>
      </c>
      <c r="AF51" s="51">
        <f t="shared" si="112"/>
        <v>-0.019840196576003232</v>
      </c>
      <c r="AG51" s="51">
        <f t="shared" si="112"/>
        <v>-0.032146955692471633</v>
      </c>
      <c r="AH51" s="51">
        <f t="shared" si="112"/>
        <v>-0.01470867644533997</v>
      </c>
      <c r="AI51" s="51">
        <f t="shared" si="112"/>
        <v>-0.008792351612242462</v>
      </c>
      <c r="AJ51" s="51">
        <f t="shared" si="112"/>
        <v>0.0002983436375545378</v>
      </c>
      <c r="AK51" s="51">
        <f t="shared" si="112"/>
        <v>0.009004693443219858</v>
      </c>
      <c r="AL51" s="51">
        <f t="shared" si="82"/>
        <v>0.00870634980566532</v>
      </c>
      <c r="AM51" s="51" t="s">
        <v>250</v>
      </c>
      <c r="AN51" s="51">
        <f aca="true" t="shared" si="113" ref="AN51:AT51">IF(AN50=0,0,AN50/AN40)</f>
        <v>-0.015085264741449566</v>
      </c>
      <c r="AO51" s="51">
        <f t="shared" si="113"/>
        <v>-0.001933987194693347</v>
      </c>
      <c r="AP51" s="51">
        <f t="shared" si="113"/>
        <v>-0.002075104610289379</v>
      </c>
      <c r="AQ51" s="51">
        <f t="shared" si="113"/>
        <v>-0.00734267912196982</v>
      </c>
      <c r="AR51" s="51">
        <f t="shared" si="113"/>
        <v>0.01956311101000806</v>
      </c>
      <c r="AS51" s="51">
        <f t="shared" si="113"/>
        <v>0.0012491270781295168</v>
      </c>
      <c r="AT51" s="51">
        <f t="shared" si="113"/>
        <v>-0.015357464322478231</v>
      </c>
      <c r="AU51" s="51">
        <f t="shared" si="84"/>
        <v>-0.01660659140060775</v>
      </c>
      <c r="AV51" s="51" t="s">
        <v>250</v>
      </c>
      <c r="AW51" s="51">
        <f>IF(AW50=0,0,AW50/AW40)</f>
        <v>-0.07344110822879063</v>
      </c>
      <c r="AX51" s="51">
        <f>IF(AX50=0,0,AX50/AX40)</f>
        <v>-0.03953801413111612</v>
      </c>
      <c r="AY51" s="51">
        <f>IF(AY50=0,0,AY50/AY40)</f>
        <v>-0.03807706340470802</v>
      </c>
      <c r="AZ51" s="51">
        <f>IF(AZ50=0,0,AZ50/AZ40)</f>
        <v>-0.04257118953462006</v>
      </c>
      <c r="BA51" s="51">
        <f>BA50/BA40</f>
        <v>-0.036642247819228244</v>
      </c>
      <c r="BB51" s="51">
        <f>IF(BB50=0,0,BB50/BB40)</f>
        <v>0.028039141128077767</v>
      </c>
      <c r="BC51" s="51">
        <f t="shared" si="85"/>
        <v>0.06468138894730602</v>
      </c>
      <c r="BD51" s="51" t="s">
        <v>250</v>
      </c>
      <c r="BE51" s="51">
        <f aca="true" t="shared" si="114" ref="BE51:BJ51">IF(BE50=0,0,BE50/BE40)</f>
        <v>0.060473230670516326</v>
      </c>
      <c r="BF51" s="51">
        <f t="shared" si="114"/>
        <v>0.048276848112159425</v>
      </c>
      <c r="BG51" s="51">
        <f t="shared" si="114"/>
        <v>0.023460307929849416</v>
      </c>
      <c r="BH51" s="51">
        <f t="shared" si="114"/>
        <v>0.04166024931539775</v>
      </c>
      <c r="BI51" s="51">
        <f t="shared" si="114"/>
        <v>0.03889123635146731</v>
      </c>
      <c r="BJ51" s="51">
        <f t="shared" si="114"/>
        <v>-0.020974972277427388</v>
      </c>
      <c r="BK51" s="51">
        <f t="shared" si="87"/>
        <v>-0.0598662086288947</v>
      </c>
      <c r="BL51" s="51" t="s">
        <v>250</v>
      </c>
      <c r="BM51" s="51">
        <f aca="true" t="shared" si="115" ref="BM51:BR51">IF(BM50=0,0,BM50/BM40)</f>
        <v>-0.010755305255012145</v>
      </c>
      <c r="BN51" s="51">
        <f t="shared" si="115"/>
        <v>-0.03101764082740718</v>
      </c>
      <c r="BO51" s="51">
        <f t="shared" si="115"/>
        <v>-0.0029776438455356613</v>
      </c>
      <c r="BP51" s="51">
        <f t="shared" si="115"/>
        <v>-0.006592849008850944</v>
      </c>
      <c r="BQ51" s="51">
        <f>BQ50/BQ40</f>
        <v>-0.005969403772578478</v>
      </c>
      <c r="BR51" s="51">
        <f t="shared" si="115"/>
        <v>0.007838104539811448</v>
      </c>
      <c r="BS51" s="51">
        <f t="shared" si="89"/>
        <v>0.013807508312389926</v>
      </c>
      <c r="BT51" s="51" t="s">
        <v>250</v>
      </c>
      <c r="BU51" s="51">
        <f aca="true" t="shared" si="116" ref="BU51:BZ51">IF(BU50=0,0,BU50/BU40)</f>
        <v>0.013912800797821007</v>
      </c>
      <c r="BV51" s="51">
        <f t="shared" si="116"/>
        <v>-0.00041313563265093725</v>
      </c>
      <c r="BW51" s="51">
        <f t="shared" si="116"/>
        <v>0.029751596168606387</v>
      </c>
      <c r="BX51" s="51">
        <f t="shared" si="116"/>
        <v>-0.007195889905596868</v>
      </c>
      <c r="BY51" s="51">
        <f t="shared" si="116"/>
        <v>0.0030037474413403876</v>
      </c>
      <c r="BZ51" s="51">
        <f t="shared" si="116"/>
        <v>-0.025061148587541424</v>
      </c>
      <c r="CA51" s="51">
        <f t="shared" si="91"/>
        <v>-0.028064896028881813</v>
      </c>
      <c r="CB51" s="51" t="s">
        <v>250</v>
      </c>
      <c r="CC51" s="51">
        <f aca="true" t="shared" si="117" ref="CC51:CH51">IF(CC50=0,0,CC50/CC40)</f>
        <v>-0.010682585037792536</v>
      </c>
      <c r="CD51" s="51">
        <f t="shared" si="117"/>
        <v>0.027307426081044098</v>
      </c>
      <c r="CE51" s="152">
        <f t="shared" si="117"/>
        <v>0.0010373217596304073</v>
      </c>
      <c r="CF51" s="152">
        <f t="shared" si="117"/>
        <v>0.011972573389829207</v>
      </c>
      <c r="CG51" s="51">
        <f t="shared" si="117"/>
        <v>-0.0011948176365654069</v>
      </c>
      <c r="CH51" s="152">
        <f t="shared" si="117"/>
        <v>0.03759942022408938</v>
      </c>
      <c r="CI51" s="51">
        <f t="shared" si="93"/>
        <v>0.038794237860654786</v>
      </c>
      <c r="CJ51" s="51" t="s">
        <v>250</v>
      </c>
      <c r="CK51" s="51">
        <f aca="true" t="shared" si="118" ref="CK51:CP51">IF(CK50=0,0,CK50/CK40)</f>
        <v>-0.036223130772563894</v>
      </c>
      <c r="CL51" s="51">
        <f t="shared" si="118"/>
        <v>0.0010852258022083922</v>
      </c>
      <c r="CM51" s="51">
        <f t="shared" si="118"/>
        <v>0.0034560792894848223</v>
      </c>
      <c r="CN51" s="51">
        <f t="shared" si="118"/>
        <v>0.01410485419618607</v>
      </c>
      <c r="CO51" s="51">
        <f t="shared" si="118"/>
        <v>0.0049511012728880085</v>
      </c>
      <c r="CP51" s="51">
        <f t="shared" si="118"/>
        <v>-0.004877614462797605</v>
      </c>
      <c r="CQ51" s="51">
        <f t="shared" si="95"/>
        <v>-0.009828715735685613</v>
      </c>
      <c r="CR51" s="51" t="s">
        <v>250</v>
      </c>
      <c r="CS51" s="51">
        <f aca="true" t="shared" si="119" ref="CS51:CX51">IF(CS50=0,0,CS50/CS40)</f>
        <v>-0.010639611228653652</v>
      </c>
      <c r="CT51" s="51">
        <f t="shared" si="119"/>
        <v>-0.012997195619043935</v>
      </c>
      <c r="CU51" s="51">
        <f t="shared" si="119"/>
        <v>-0.026606525557952277</v>
      </c>
      <c r="CV51" s="51">
        <f t="shared" si="119"/>
        <v>0.003969498966318165</v>
      </c>
      <c r="CW51" s="51">
        <f t="shared" si="119"/>
        <v>-0.012811614885271484</v>
      </c>
      <c r="CX51" s="51">
        <f t="shared" si="119"/>
        <v>0.007585983841472284</v>
      </c>
      <c r="CY51" s="51">
        <f t="shared" si="36"/>
        <v>0.02039759872674377</v>
      </c>
      <c r="CZ51" s="51" t="s">
        <v>250</v>
      </c>
      <c r="DA51" s="51">
        <v>0.0017209725395452107</v>
      </c>
      <c r="DB51" s="85">
        <f>IF(DB50=0,0,DB50/DB40)</f>
        <v>-0.0015229992179248142</v>
      </c>
      <c r="DC51" s="51" t="e">
        <f>IF(DC50=0,0,DC50/DC40)</f>
        <v>#REF!</v>
      </c>
      <c r="DD51" s="51" t="e">
        <f t="shared" si="97"/>
        <v>#REF!</v>
      </c>
      <c r="DE51" s="86" t="s">
        <v>250</v>
      </c>
    </row>
    <row r="52" spans="1:111" ht="31.5">
      <c r="A52" s="98" t="s">
        <v>79</v>
      </c>
      <c r="B52" s="29" t="s">
        <v>80</v>
      </c>
      <c r="C52" s="10" t="s">
        <v>36</v>
      </c>
      <c r="D52" s="52">
        <f aca="true" t="shared" si="120" ref="D52:J52">D53+D54+D55+D56+D57</f>
        <v>48496.163</v>
      </c>
      <c r="E52" s="52">
        <f t="shared" si="120"/>
        <v>48132.054000000004</v>
      </c>
      <c r="F52" s="52">
        <f t="shared" si="120"/>
        <v>47435.789</v>
      </c>
      <c r="G52" s="52">
        <f t="shared" si="120"/>
        <v>46301.231</v>
      </c>
      <c r="H52" s="120">
        <f t="shared" si="120"/>
        <v>43654.977</v>
      </c>
      <c r="I52" s="52">
        <f t="shared" si="120"/>
        <v>45038.244999999995</v>
      </c>
      <c r="J52" s="120">
        <f t="shared" si="120"/>
        <v>45521.224</v>
      </c>
      <c r="K52" s="52">
        <f>J52-I52</f>
        <v>482.97900000000664</v>
      </c>
      <c r="L52" s="109">
        <f t="shared" si="38"/>
        <v>0.010723752668426727</v>
      </c>
      <c r="M52" s="52">
        <f aca="true" t="shared" si="121" ref="M52:S52">M53+M54+M55+M56+M57</f>
        <v>47008.049999999996</v>
      </c>
      <c r="N52" s="52">
        <f t="shared" si="121"/>
        <v>44542.621</v>
      </c>
      <c r="O52" s="52">
        <f t="shared" si="121"/>
        <v>44440.960999999996</v>
      </c>
      <c r="P52" s="52">
        <f t="shared" si="121"/>
        <v>43396.998</v>
      </c>
      <c r="Q52" s="120">
        <f t="shared" si="121"/>
        <v>42154.353</v>
      </c>
      <c r="R52" s="120">
        <f t="shared" si="121"/>
        <v>43368.352999999996</v>
      </c>
      <c r="S52" s="120">
        <f t="shared" si="121"/>
        <v>44383.130999999994</v>
      </c>
      <c r="T52" s="52">
        <f t="shared" si="78"/>
        <v>1014.7779999999984</v>
      </c>
      <c r="U52" s="109">
        <f aca="true" t="shared" si="122" ref="U52:U63">IF(R52=0,0,T52/R52)</f>
        <v>0.023399043998742552</v>
      </c>
      <c r="V52" s="52">
        <f aca="true" t="shared" si="123" ref="V52:AB52">V53+V54+V55+V56+V57</f>
        <v>43024.825</v>
      </c>
      <c r="W52" s="52">
        <f t="shared" si="123"/>
        <v>41583.903</v>
      </c>
      <c r="X52" s="52">
        <f t="shared" si="123"/>
        <v>43088.293</v>
      </c>
      <c r="Y52" s="52">
        <f t="shared" si="123"/>
        <v>40069.54</v>
      </c>
      <c r="Z52" s="120">
        <f t="shared" si="123"/>
        <v>38632.041</v>
      </c>
      <c r="AA52" s="120">
        <f t="shared" si="123"/>
        <v>40346.041</v>
      </c>
      <c r="AB52" s="120">
        <f t="shared" si="123"/>
        <v>42971.375</v>
      </c>
      <c r="AC52" s="52">
        <f t="shared" si="80"/>
        <v>2625.3340000000026</v>
      </c>
      <c r="AD52" s="109">
        <f aca="true" t="shared" si="124" ref="AD52:AD63">IF(AA52=0,0,AC52/AA52)</f>
        <v>0.06507042413405575</v>
      </c>
      <c r="AE52" s="52">
        <f aca="true" t="shared" si="125" ref="AE52:AK52">AE53+AE54+AE55+AE56+AE57</f>
        <v>39741.850999999995</v>
      </c>
      <c r="AF52" s="120">
        <f t="shared" si="125"/>
        <v>40217.712</v>
      </c>
      <c r="AG52" s="120">
        <f t="shared" si="125"/>
        <v>40899.162</v>
      </c>
      <c r="AH52" s="120">
        <f t="shared" si="125"/>
        <v>37522.293000000005</v>
      </c>
      <c r="AI52" s="120">
        <f t="shared" si="125"/>
        <v>35810.698000000004</v>
      </c>
      <c r="AJ52" s="120">
        <f t="shared" si="125"/>
        <v>38651.458</v>
      </c>
      <c r="AK52" s="120">
        <f t="shared" si="125"/>
        <v>38549.643</v>
      </c>
      <c r="AL52" s="120">
        <f t="shared" si="82"/>
        <v>-101.81500000000233</v>
      </c>
      <c r="AM52" s="109">
        <f aca="true" t="shared" si="126" ref="AM52:AM63">IF(AJ52=0,0,AL52/AJ52)</f>
        <v>-0.002634182648426932</v>
      </c>
      <c r="AN52" s="52">
        <f aca="true" t="shared" si="127" ref="AN52:AS52">AN53+AN54+AN55+AN56+AN57</f>
        <v>36886.986</v>
      </c>
      <c r="AO52" s="52">
        <f t="shared" si="127"/>
        <v>35941.901</v>
      </c>
      <c r="AP52" s="52">
        <f t="shared" si="127"/>
        <v>35020.594</v>
      </c>
      <c r="AQ52" s="120">
        <f t="shared" si="127"/>
        <v>35364.866</v>
      </c>
      <c r="AR52" s="120">
        <f t="shared" si="127"/>
        <v>32053.025</v>
      </c>
      <c r="AS52" s="120">
        <f t="shared" si="127"/>
        <v>35814.235</v>
      </c>
      <c r="AT52" s="120">
        <f>AT53+AT55+AT56</f>
        <v>36295.28600000001</v>
      </c>
      <c r="AU52" s="120">
        <f t="shared" si="84"/>
        <v>481.05100000000675</v>
      </c>
      <c r="AV52" s="109">
        <f aca="true" t="shared" si="128" ref="AV52:AV63">IF(AS52=0,0,AU52/AS52)</f>
        <v>0.013431837927014405</v>
      </c>
      <c r="AW52" s="52">
        <f>AW53+AW54+AW55+AW56+AW57</f>
        <v>36677.55900000001</v>
      </c>
      <c r="AX52" s="52">
        <f>AX53+AX54+AX55+AX56+AX57</f>
        <v>36947.598</v>
      </c>
      <c r="AY52" s="120">
        <f>AY53+AY54+AY55+AY56+AY57</f>
        <v>36146.755000000005</v>
      </c>
      <c r="AZ52" s="120">
        <f>AZ53+AZ54+AZ55+AZ56+AZ57</f>
        <v>33355.104</v>
      </c>
      <c r="BA52" s="52">
        <f>BA53+BA55+BA56</f>
        <v>36720.428</v>
      </c>
      <c r="BB52" s="120">
        <f>BB53+BB54+BB55+BB56+BB57</f>
        <v>36248.778000000006</v>
      </c>
      <c r="BC52" s="52">
        <f t="shared" si="85"/>
        <v>-471.6499999999942</v>
      </c>
      <c r="BD52" s="109">
        <f aca="true" t="shared" si="129" ref="BD52:BD63">IF(BA52=0,0,BC52/BA52)</f>
        <v>-0.012844349199851215</v>
      </c>
      <c r="BE52" s="52">
        <f aca="true" t="shared" si="130" ref="BE52:BJ52">BE53+BE54+BE55+BE56+BE57</f>
        <v>33212.678</v>
      </c>
      <c r="BF52" s="52">
        <f t="shared" si="130"/>
        <v>36457.935</v>
      </c>
      <c r="BG52" s="52">
        <f t="shared" si="130"/>
        <v>33939.97</v>
      </c>
      <c r="BH52" s="120">
        <f t="shared" si="130"/>
        <v>35782.293999999994</v>
      </c>
      <c r="BI52" s="120">
        <f t="shared" si="130"/>
        <v>35036.551</v>
      </c>
      <c r="BJ52" s="120">
        <f t="shared" si="130"/>
        <v>39320.505000000005</v>
      </c>
      <c r="BK52" s="120">
        <f t="shared" si="87"/>
        <v>4283.954000000005</v>
      </c>
      <c r="BL52" s="109">
        <f aca="true" t="shared" si="131" ref="BL52:BL63">IF(BI52=0,0,BK52/BI52)</f>
        <v>0.12227099636605228</v>
      </c>
      <c r="BM52" s="52">
        <f aca="true" t="shared" si="132" ref="BM52:BR52">BM53+BM54+BM55+BM56+BM57</f>
        <v>36723.095</v>
      </c>
      <c r="BN52" s="52">
        <f t="shared" si="132"/>
        <v>37535.04</v>
      </c>
      <c r="BO52" s="52">
        <f t="shared" si="132"/>
        <v>34989.055</v>
      </c>
      <c r="BP52" s="120">
        <f t="shared" si="132"/>
        <v>34712.578</v>
      </c>
      <c r="BQ52" s="120">
        <f>BQ53+BQ55+BQ56</f>
        <v>35553.055</v>
      </c>
      <c r="BR52" s="120">
        <f t="shared" si="132"/>
        <v>40430.58</v>
      </c>
      <c r="BS52" s="120">
        <f t="shared" si="89"/>
        <v>4877.5250000000015</v>
      </c>
      <c r="BT52" s="109">
        <f aca="true" t="shared" si="133" ref="BT52:BT63">IF(BQ52=0,0,BS52/BQ52)</f>
        <v>0.13719003894320758</v>
      </c>
      <c r="BU52" s="52">
        <f aca="true" t="shared" si="134" ref="BU52:BZ52">BU53+BU54+BU55+BU56+BU57</f>
        <v>36176.62300000001</v>
      </c>
      <c r="BV52" s="120">
        <f t="shared" si="134"/>
        <v>34870.667</v>
      </c>
      <c r="BW52" s="120">
        <f t="shared" si="134"/>
        <v>35541.906</v>
      </c>
      <c r="BX52" s="120">
        <f t="shared" si="134"/>
        <v>35757.122</v>
      </c>
      <c r="BY52" s="120">
        <f t="shared" si="134"/>
        <v>35355.906</v>
      </c>
      <c r="BZ52" s="120">
        <f t="shared" si="134"/>
        <v>38137.86</v>
      </c>
      <c r="CA52" s="152">
        <f t="shared" si="91"/>
        <v>2781.953999999998</v>
      </c>
      <c r="CB52" s="109">
        <f aca="true" t="shared" si="135" ref="CB52:CB63">IF(BY52=0,0,CA52/BY52)</f>
        <v>0.07868427979189666</v>
      </c>
      <c r="CC52" s="52">
        <f aca="true" t="shared" si="136" ref="CC52:CH52">CC53+CC54+CC55+CC56+CC57</f>
        <v>41651.814</v>
      </c>
      <c r="CD52" s="52">
        <f t="shared" si="136"/>
        <v>39899.221000000005</v>
      </c>
      <c r="CE52" s="152">
        <f t="shared" si="136"/>
        <v>39671.198000000004</v>
      </c>
      <c r="CF52" s="120">
        <f t="shared" si="136"/>
        <v>37415.39199999999</v>
      </c>
      <c r="CG52" s="120">
        <f t="shared" si="136"/>
        <v>39773.393</v>
      </c>
      <c r="CH52" s="120">
        <f t="shared" si="136"/>
        <v>38469.417</v>
      </c>
      <c r="CI52" s="120">
        <f t="shared" si="93"/>
        <v>-1303.975999999995</v>
      </c>
      <c r="CJ52" s="109">
        <f aca="true" t="shared" si="137" ref="CJ52:CJ63">IF(CG52=0,0,CI52/CG52)</f>
        <v>-0.03278513351878215</v>
      </c>
      <c r="CK52" s="52">
        <f aca="true" t="shared" si="138" ref="CK52:CP52">CK53+CK54+CK55+CK56+CK57</f>
        <v>43071.604999999996</v>
      </c>
      <c r="CL52" s="52">
        <f t="shared" si="138"/>
        <v>42547.895000000004</v>
      </c>
      <c r="CM52" s="120">
        <f t="shared" si="138"/>
        <v>41256.84</v>
      </c>
      <c r="CN52" s="120">
        <f t="shared" si="138"/>
        <v>41715.326</v>
      </c>
      <c r="CO52" s="120">
        <f t="shared" si="138"/>
        <v>41793.909</v>
      </c>
      <c r="CP52" s="120">
        <f t="shared" si="138"/>
        <v>42229.312999999995</v>
      </c>
      <c r="CQ52" s="122">
        <f t="shared" si="95"/>
        <v>435.403999999995</v>
      </c>
      <c r="CR52" s="109">
        <f aca="true" t="shared" si="139" ref="CR52:CR63">IF(CO52=0,0,CQ52/CO52)</f>
        <v>0.010417881706159503</v>
      </c>
      <c r="CS52" s="52">
        <f aca="true" t="shared" si="140" ref="CS52:CX52">CS53+CS54+CS55+CS56+CS57</f>
        <v>43894.193</v>
      </c>
      <c r="CT52" s="52">
        <f t="shared" si="140"/>
        <v>44163.758</v>
      </c>
      <c r="CU52" s="120">
        <f t="shared" si="140"/>
        <v>43339.418999999994</v>
      </c>
      <c r="CV52" s="120">
        <f t="shared" si="140"/>
        <v>45040.812</v>
      </c>
      <c r="CW52" s="52">
        <f t="shared" si="140"/>
        <v>44048.42600000001</v>
      </c>
      <c r="CX52" s="120">
        <f t="shared" si="140"/>
        <v>44188.465</v>
      </c>
      <c r="CY52" s="120">
        <f t="shared" si="36"/>
        <v>140.03899999998976</v>
      </c>
      <c r="CZ52" s="109">
        <f aca="true" t="shared" si="141" ref="CZ52:CZ63">IF(CW52=0,0,CY52/CW52)</f>
        <v>0.0031792055407380442</v>
      </c>
      <c r="DA52" s="120">
        <v>482037.181</v>
      </c>
      <c r="DB52" s="52">
        <f>DB53+DB54+DB55+DB56+DB57</f>
        <v>471500</v>
      </c>
      <c r="DC52" s="52" t="e">
        <f>DC53+DC54+DC55+DC56+DC57</f>
        <v>#REF!</v>
      </c>
      <c r="DD52" s="52" t="e">
        <f>DC52-DB52</f>
        <v>#REF!</v>
      </c>
      <c r="DE52" s="148" t="e">
        <f aca="true" t="shared" si="142" ref="DE52:DE62">IF(DB52=0,0,DD52/DB52)</f>
        <v>#REF!</v>
      </c>
      <c r="DF52" s="149"/>
      <c r="DG52" s="149"/>
    </row>
    <row r="53" spans="1:111" s="132" customFormat="1" ht="15.75">
      <c r="A53" s="125" t="s">
        <v>81</v>
      </c>
      <c r="B53" s="126" t="s">
        <v>27</v>
      </c>
      <c r="C53" s="127" t="s">
        <v>36</v>
      </c>
      <c r="D53" s="139">
        <v>4853.098</v>
      </c>
      <c r="E53" s="139">
        <f>2489.315+1480.678+729.617+10.68</f>
        <v>4710.290000000001</v>
      </c>
      <c r="F53" s="139">
        <f>2431.332+1177.856+616.986+9.82</f>
        <v>4235.994</v>
      </c>
      <c r="G53" s="118">
        <f>2439.285+1010.52+739.805+11.32</f>
        <v>4200.929999999999</v>
      </c>
      <c r="H53" s="140">
        <f>2385.914+928.853+760.533+11.96</f>
        <v>4087.26</v>
      </c>
      <c r="I53" s="187">
        <f>4087.26+714</f>
        <v>4801.26</v>
      </c>
      <c r="J53" s="140">
        <f>2160.338+979.71+1658.84+14.56</f>
        <v>4813.448</v>
      </c>
      <c r="K53" s="134">
        <f t="shared" si="0"/>
        <v>12.188000000000102</v>
      </c>
      <c r="L53" s="135">
        <f t="shared" si="38"/>
        <v>0.002538500310335225</v>
      </c>
      <c r="M53" s="118">
        <f>2061.942+1356.607+773.011+11.34</f>
        <v>4202.9</v>
      </c>
      <c r="N53" s="118">
        <f>2024.961+1281.797+671.624+10.82</f>
        <v>3989.2019999999998</v>
      </c>
      <c r="O53" s="118">
        <f>2142.84+1097.559+629.764+11.08</f>
        <v>3881.2430000000004</v>
      </c>
      <c r="P53" s="118">
        <f>2145.284+890.488+659.181+9.68</f>
        <v>3704.633</v>
      </c>
      <c r="Q53" s="140">
        <f>1993.395+880.586+750.648+10.36</f>
        <v>3634.989</v>
      </c>
      <c r="R53" s="187">
        <f>3634.989+714</f>
        <v>4348.989</v>
      </c>
      <c r="S53" s="140">
        <f>2016.766+906.073+1582.356+15.78</f>
        <v>4520.974999999999</v>
      </c>
      <c r="T53" s="134">
        <f t="shared" si="78"/>
        <v>171.98599999999988</v>
      </c>
      <c r="U53" s="135">
        <f t="shared" si="122"/>
        <v>0.039546202577196654</v>
      </c>
      <c r="V53" s="118">
        <f>2424.202+1425.364+776.754+8.56</f>
        <v>4634.880000000001</v>
      </c>
      <c r="W53" s="118">
        <f>2213.237+1304.516+688.89+8.68</f>
        <v>4215.323</v>
      </c>
      <c r="X53" s="118">
        <f>2256.447+1161.565+676.311+10.6</f>
        <v>4104.923000000001</v>
      </c>
      <c r="Y53" s="118">
        <f>2364.375+946.906+707.149+8.56</f>
        <v>4026.99</v>
      </c>
      <c r="Z53" s="133">
        <f>1823.41+912.46+710.082+8.48</f>
        <v>3454.432</v>
      </c>
      <c r="AA53" s="187">
        <f>3454.432+714</f>
        <v>4168.432</v>
      </c>
      <c r="AB53" s="133">
        <f>2067.574+976.843+1643.102+15.66</f>
        <v>4703.179</v>
      </c>
      <c r="AC53" s="134">
        <f t="shared" si="80"/>
        <v>534.7470000000003</v>
      </c>
      <c r="AD53" s="135">
        <f t="shared" si="124"/>
        <v>0.12828492824160267</v>
      </c>
      <c r="AE53" s="118">
        <f>1209.928+1266.965+624.249+5.02</f>
        <v>3106.162</v>
      </c>
      <c r="AF53" s="133">
        <f>1960.294+1174.586+604.683+5.38</f>
        <v>3744.943</v>
      </c>
      <c r="AG53" s="133">
        <f>1851.577+1024.233+540.323+5.54</f>
        <v>3421.673</v>
      </c>
      <c r="AH53" s="133">
        <f>1722.947+851.773+649.447+4.98</f>
        <v>3229.147</v>
      </c>
      <c r="AI53" s="133">
        <f>1560.646+805.49+386.059+5.4</f>
        <v>2757.5950000000003</v>
      </c>
      <c r="AJ53" s="187">
        <f>3229.147+714</f>
        <v>3943.147</v>
      </c>
      <c r="AK53" s="133">
        <f>1203.839+835.642+1246.137+9.4</f>
        <v>3295.018</v>
      </c>
      <c r="AL53" s="153">
        <f t="shared" si="82"/>
        <v>-648.1289999999999</v>
      </c>
      <c r="AM53" s="135">
        <f t="shared" si="126"/>
        <v>-0.1643684600142982</v>
      </c>
      <c r="AN53" s="118">
        <f>829.163+1239.519+586.849+3.14</f>
        <v>2658.671</v>
      </c>
      <c r="AO53" s="118">
        <f>807.702+1108.799+559.641+3.08</f>
        <v>2479.2219999999998</v>
      </c>
      <c r="AP53" s="118">
        <f>858.862+966.916+466.695+3.26</f>
        <v>2295.733</v>
      </c>
      <c r="AQ53" s="133">
        <f>883.062+828.584+639.272+2.6</f>
        <v>2353.518</v>
      </c>
      <c r="AR53" s="133">
        <f>671.067+753.533+397.677+3.16</f>
        <v>1825.4370000000001</v>
      </c>
      <c r="AS53" s="187">
        <f>2278.467+714</f>
        <v>2992.467</v>
      </c>
      <c r="AT53" s="133">
        <f>820.124+1194.661+685.563+3.82</f>
        <v>2704.168</v>
      </c>
      <c r="AU53" s="134">
        <f t="shared" si="84"/>
        <v>-288.299</v>
      </c>
      <c r="AV53" s="135">
        <f t="shared" si="128"/>
        <v>-0.09634158037498824</v>
      </c>
      <c r="AW53" s="118">
        <f>750.485+881.279+582.199+2.8</f>
        <v>2216.7630000000004</v>
      </c>
      <c r="AX53" s="118">
        <f>1033.548+941.971+505.373+2.58</f>
        <v>2483.4719999999998</v>
      </c>
      <c r="AY53" s="133">
        <f>673.16+800.119+721.371+2</f>
        <v>2196.65</v>
      </c>
      <c r="AZ53" s="133">
        <f>643.795+714.176+495.629+2.24</f>
        <v>1855.84</v>
      </c>
      <c r="BA53" s="159">
        <f>2196.65+714</f>
        <v>2910.65</v>
      </c>
      <c r="BB53" s="133">
        <f>(785274+1301340+590242+2060)/1000</f>
        <v>2678.916</v>
      </c>
      <c r="BC53" s="134">
        <f t="shared" si="85"/>
        <v>-231.73399999999992</v>
      </c>
      <c r="BD53" s="135">
        <f t="shared" si="129"/>
        <v>-0.07961589335715387</v>
      </c>
      <c r="BE53" s="17">
        <f>772.955+903.971+659.754+2</f>
        <v>2338.68</v>
      </c>
      <c r="BF53" s="17">
        <f>728.641+994.104+658.165+2.86</f>
        <v>2383.77</v>
      </c>
      <c r="BG53" s="118">
        <f>591.086+785.946+740.694+2.2</f>
        <v>2119.926</v>
      </c>
      <c r="BH53" s="133">
        <f>608.637+801.056+2.02+725.226</f>
        <v>2136.939</v>
      </c>
      <c r="BI53" s="187">
        <f>2152.407+714</f>
        <v>2866.407</v>
      </c>
      <c r="BJ53" s="133">
        <f>794.26+1374.76+605.585+2.22</f>
        <v>2776.825</v>
      </c>
      <c r="BK53" s="134">
        <f t="shared" si="87"/>
        <v>-89.58200000000033</v>
      </c>
      <c r="BL53" s="135">
        <f t="shared" si="131"/>
        <v>-0.03125236576662014</v>
      </c>
      <c r="BM53" s="118">
        <f>740.171+929.128+625.417+2.14</f>
        <v>2296.8559999999998</v>
      </c>
      <c r="BN53" s="118">
        <f>709.787+930.074+640.271+3.06</f>
        <v>2283.1919999999996</v>
      </c>
      <c r="BO53" s="118">
        <f>578.245+752.453+719.192+2.3</f>
        <v>2052.19</v>
      </c>
      <c r="BP53" s="133">
        <f>599.36+758.108+663.476+2.72</f>
        <v>2023.664</v>
      </c>
      <c r="BQ53" s="187">
        <f>2052.19+714</f>
        <v>2766.19</v>
      </c>
      <c r="BR53" s="133">
        <f>828.714+1379.058+633.7+1.98</f>
        <v>2843.4519999999998</v>
      </c>
      <c r="BS53" s="134">
        <f t="shared" si="89"/>
        <v>77.26199999999972</v>
      </c>
      <c r="BT53" s="135">
        <f t="shared" si="133"/>
        <v>0.027930836276611408</v>
      </c>
      <c r="BU53" s="118">
        <f>912.229+943.202+494.112+1.82</f>
        <v>2351.3630000000003</v>
      </c>
      <c r="BV53" s="133">
        <f>691.333+901.438+542.502+2.66</f>
        <v>2137.933</v>
      </c>
      <c r="BW53" s="133">
        <f>871.338+774.034+657.958+2.36</f>
        <v>2305.69</v>
      </c>
      <c r="BX53" s="133">
        <f>648.545+785.798+628.658+2.62</f>
        <v>2065.6209999999996</v>
      </c>
      <c r="BY53" s="187">
        <f>2305.69+714</f>
        <v>3019.69</v>
      </c>
      <c r="BZ53" s="133">
        <f>986.399+836.476+1276.166+2.6</f>
        <v>3101.641</v>
      </c>
      <c r="CA53" s="134">
        <f t="shared" si="91"/>
        <v>81.95100000000002</v>
      </c>
      <c r="CB53" s="135">
        <f t="shared" si="135"/>
        <v>0.02713887849415007</v>
      </c>
      <c r="CC53" s="118">
        <f>2118.308+901.822+563.128+2.84</f>
        <v>3586.0980000000004</v>
      </c>
      <c r="CD53" s="118">
        <f>1937.696+860.397+575.918+4.28</f>
        <v>3378.291</v>
      </c>
      <c r="CE53" s="155">
        <f>1825.155+832.571+648.504+6.38</f>
        <v>3312.61</v>
      </c>
      <c r="CF53" s="133">
        <f>1585.897+852.753+647.091+5.34</f>
        <v>3091.081</v>
      </c>
      <c r="CG53" s="187">
        <f>3362.147+714</f>
        <v>4076.147</v>
      </c>
      <c r="CH53" s="133">
        <f>861.946+1060.114+1743.961+5.06</f>
        <v>3671.0809999999997</v>
      </c>
      <c r="CI53" s="134">
        <f t="shared" si="93"/>
        <v>-405.06600000000026</v>
      </c>
      <c r="CJ53" s="135">
        <f t="shared" si="137"/>
        <v>-0.09937472814400468</v>
      </c>
      <c r="CK53" s="118">
        <f>2225.062+994.528+600.326+7.94</f>
        <v>3827.856</v>
      </c>
      <c r="CL53" s="118">
        <f>2357.918+928.133+648.825+9.88</f>
        <v>3944.7560000000003</v>
      </c>
      <c r="CM53" s="133">
        <f>2022.856+841.343+703.934+9.68</f>
        <v>3577.8129999999996</v>
      </c>
      <c r="CN53" s="133">
        <f>1842.966+883.365+715.23+12.58</f>
        <v>3454.141</v>
      </c>
      <c r="CO53" s="187">
        <f>3577.813+714</f>
        <v>4291.813</v>
      </c>
      <c r="CP53" s="133">
        <f>894.918+1455.84+2132.261+7.44</f>
        <v>4490.459</v>
      </c>
      <c r="CQ53" s="134">
        <f t="shared" si="95"/>
        <v>198.64599999999973</v>
      </c>
      <c r="CR53" s="135">
        <f t="shared" si="139"/>
        <v>0.04628486842273877</v>
      </c>
      <c r="CS53" s="118">
        <f>2379.091+1131.505+663.35+9.36</f>
        <v>4183.306</v>
      </c>
      <c r="CT53" s="118">
        <f>2370.717+1008.202+748.024+11.76</f>
        <v>4138.703</v>
      </c>
      <c r="CU53" s="133">
        <f>2340.09+940.025+782.479+13.24</f>
        <v>4075.834</v>
      </c>
      <c r="CV53" s="133">
        <f>2358.185+996.79+18.88+822.115</f>
        <v>4195.97</v>
      </c>
      <c r="CW53" s="187">
        <f>4075.833+714+7.531</f>
        <v>4797.3640000000005</v>
      </c>
      <c r="CX53" s="133">
        <f>2368.146+981.938+1658.01+10.228</f>
        <v>5018.322</v>
      </c>
      <c r="CY53" s="153">
        <f t="shared" si="36"/>
        <v>220.95799999999963</v>
      </c>
      <c r="CZ53" s="135">
        <f t="shared" si="141"/>
        <v>0.046058210300489934</v>
      </c>
      <c r="DA53" s="143">
        <v>42859.128000000004</v>
      </c>
      <c r="DB53" s="129">
        <f aca="true" t="shared" si="143" ref="DB53:DC56">I53+R53+AA53+AJ53+AS53+BA53+BI53+BQ53+BY53+CG53+CO53+CW53</f>
        <v>44982.556000000004</v>
      </c>
      <c r="DC53" s="129">
        <f t="shared" si="143"/>
        <v>44617.484000000004</v>
      </c>
      <c r="DD53" s="128">
        <f t="shared" si="97"/>
        <v>-365.0720000000001</v>
      </c>
      <c r="DE53" s="130">
        <f t="shared" si="142"/>
        <v>-0.008115857178058091</v>
      </c>
      <c r="DF53" s="119"/>
      <c r="DG53" s="131"/>
    </row>
    <row r="54" spans="1:111" s="132" customFormat="1" ht="15.75">
      <c r="A54" s="125" t="s">
        <v>82</v>
      </c>
      <c r="B54" s="126" t="s">
        <v>83</v>
      </c>
      <c r="C54" s="127" t="s">
        <v>36</v>
      </c>
      <c r="D54" s="139">
        <v>0</v>
      </c>
      <c r="E54" s="139">
        <v>0</v>
      </c>
      <c r="F54" s="139">
        <v>0</v>
      </c>
      <c r="G54" s="118"/>
      <c r="H54" s="140"/>
      <c r="I54" s="187"/>
      <c r="J54" s="140"/>
      <c r="K54" s="134">
        <f t="shared" si="0"/>
        <v>0</v>
      </c>
      <c r="L54" s="135">
        <f t="shared" si="38"/>
        <v>0</v>
      </c>
      <c r="M54" s="118">
        <v>0</v>
      </c>
      <c r="N54" s="118">
        <v>0</v>
      </c>
      <c r="O54" s="118">
        <v>0</v>
      </c>
      <c r="P54" s="118">
        <v>0</v>
      </c>
      <c r="Q54" s="140">
        <v>0</v>
      </c>
      <c r="R54" s="187"/>
      <c r="S54" s="140"/>
      <c r="T54" s="134">
        <f t="shared" si="78"/>
        <v>0</v>
      </c>
      <c r="U54" s="135">
        <f t="shared" si="122"/>
        <v>0</v>
      </c>
      <c r="V54" s="118">
        <v>0</v>
      </c>
      <c r="W54" s="118">
        <v>0</v>
      </c>
      <c r="X54" s="118">
        <v>0</v>
      </c>
      <c r="Y54" s="118">
        <v>0</v>
      </c>
      <c r="Z54" s="133"/>
      <c r="AA54" s="187"/>
      <c r="AB54" s="133"/>
      <c r="AC54" s="134">
        <f t="shared" si="80"/>
        <v>0</v>
      </c>
      <c r="AD54" s="135">
        <f t="shared" si="124"/>
        <v>0</v>
      </c>
      <c r="AE54" s="118">
        <v>0</v>
      </c>
      <c r="AF54" s="133">
        <v>0</v>
      </c>
      <c r="AG54" s="133">
        <v>0</v>
      </c>
      <c r="AH54" s="133">
        <v>0</v>
      </c>
      <c r="AI54" s="133">
        <v>0</v>
      </c>
      <c r="AJ54" s="187">
        <v>0</v>
      </c>
      <c r="AK54" s="133">
        <v>0</v>
      </c>
      <c r="AL54" s="153">
        <f t="shared" si="82"/>
        <v>0</v>
      </c>
      <c r="AM54" s="135">
        <f t="shared" si="126"/>
        <v>0</v>
      </c>
      <c r="AN54" s="118">
        <v>0</v>
      </c>
      <c r="AO54" s="118">
        <v>0</v>
      </c>
      <c r="AP54" s="118">
        <v>0</v>
      </c>
      <c r="AQ54" s="133">
        <v>0</v>
      </c>
      <c r="AR54" s="133">
        <v>0</v>
      </c>
      <c r="AS54" s="187"/>
      <c r="AT54" s="133"/>
      <c r="AU54" s="134">
        <f t="shared" si="84"/>
        <v>0</v>
      </c>
      <c r="AV54" s="135">
        <f t="shared" si="128"/>
        <v>0</v>
      </c>
      <c r="AW54" s="118">
        <v>0</v>
      </c>
      <c r="AX54" s="118">
        <v>0</v>
      </c>
      <c r="AY54" s="133"/>
      <c r="AZ54" s="133">
        <v>0</v>
      </c>
      <c r="BA54" s="159"/>
      <c r="BB54" s="133">
        <v>0</v>
      </c>
      <c r="BC54" s="134">
        <f t="shared" si="85"/>
        <v>0</v>
      </c>
      <c r="BD54" s="135">
        <f t="shared" si="129"/>
        <v>0</v>
      </c>
      <c r="BE54" s="121"/>
      <c r="BF54" s="121">
        <v>0</v>
      </c>
      <c r="BG54" s="118">
        <v>0</v>
      </c>
      <c r="BH54" s="133"/>
      <c r="BI54" s="187"/>
      <c r="BJ54" s="133"/>
      <c r="BK54" s="134">
        <f t="shared" si="87"/>
        <v>0</v>
      </c>
      <c r="BL54" s="135">
        <f t="shared" si="131"/>
        <v>0</v>
      </c>
      <c r="BM54" s="118">
        <v>0</v>
      </c>
      <c r="BN54" s="118">
        <v>0</v>
      </c>
      <c r="BO54" s="118">
        <v>0</v>
      </c>
      <c r="BP54" s="133"/>
      <c r="BQ54" s="187"/>
      <c r="BR54" s="133"/>
      <c r="BS54" s="134">
        <f t="shared" si="89"/>
        <v>0</v>
      </c>
      <c r="BT54" s="135">
        <f t="shared" si="133"/>
        <v>0</v>
      </c>
      <c r="BU54" s="118">
        <v>0</v>
      </c>
      <c r="BV54" s="133">
        <v>0</v>
      </c>
      <c r="BW54" s="133"/>
      <c r="BX54" s="133"/>
      <c r="BY54" s="187"/>
      <c r="BZ54" s="133"/>
      <c r="CA54" s="134">
        <f t="shared" si="91"/>
        <v>0</v>
      </c>
      <c r="CB54" s="135">
        <f t="shared" si="135"/>
        <v>0</v>
      </c>
      <c r="CC54" s="118">
        <v>0</v>
      </c>
      <c r="CD54" s="118">
        <v>0</v>
      </c>
      <c r="CE54" s="155">
        <v>0</v>
      </c>
      <c r="CF54" s="133"/>
      <c r="CG54" s="187"/>
      <c r="CH54" s="133"/>
      <c r="CI54" s="134">
        <f t="shared" si="93"/>
        <v>0</v>
      </c>
      <c r="CJ54" s="135">
        <f t="shared" si="137"/>
        <v>0</v>
      </c>
      <c r="CK54" s="118">
        <v>0</v>
      </c>
      <c r="CL54" s="118">
        <v>0</v>
      </c>
      <c r="CM54" s="133"/>
      <c r="CN54" s="133"/>
      <c r="CO54" s="187"/>
      <c r="CP54" s="133"/>
      <c r="CQ54" s="134">
        <f t="shared" si="95"/>
        <v>0</v>
      </c>
      <c r="CR54" s="135">
        <f t="shared" si="139"/>
        <v>0</v>
      </c>
      <c r="CS54" s="118">
        <v>0</v>
      </c>
      <c r="CT54" s="118">
        <v>0</v>
      </c>
      <c r="CU54" s="133"/>
      <c r="CV54" s="133"/>
      <c r="CW54" s="187"/>
      <c r="CX54" s="133"/>
      <c r="CY54" s="153">
        <f t="shared" si="36"/>
        <v>0</v>
      </c>
      <c r="CZ54" s="135">
        <f t="shared" si="141"/>
        <v>0</v>
      </c>
      <c r="DA54" s="143">
        <v>0</v>
      </c>
      <c r="DB54" s="129">
        <f t="shared" si="143"/>
        <v>0</v>
      </c>
      <c r="DC54" s="129">
        <f t="shared" si="143"/>
        <v>0</v>
      </c>
      <c r="DD54" s="128">
        <f t="shared" si="97"/>
        <v>0</v>
      </c>
      <c r="DE54" s="130">
        <f t="shared" si="142"/>
        <v>0</v>
      </c>
      <c r="DF54" s="119"/>
      <c r="DG54" s="131"/>
    </row>
    <row r="55" spans="1:111" s="132" customFormat="1" ht="15.75">
      <c r="A55" s="125" t="s">
        <v>84</v>
      </c>
      <c r="B55" s="126" t="s">
        <v>31</v>
      </c>
      <c r="C55" s="127" t="s">
        <v>36</v>
      </c>
      <c r="D55" s="139">
        <v>17855.587</v>
      </c>
      <c r="E55" s="139">
        <f>276.357+831.248+13.28+13434.936+14.612+2720.656+312.633</f>
        <v>17603.722</v>
      </c>
      <c r="F55" s="139">
        <f>283.921+290.109+191.02+378.064+822.14+12.64+13224.57+45.923+2682.653</f>
        <v>17931.04</v>
      </c>
      <c r="G55" s="118">
        <f>60.137+173.072+493.021+854.314+12.8+12301.772+107.429+232.516+279.82+2929.012+285.971</f>
        <v>17729.864</v>
      </c>
      <c r="H55" s="140">
        <f>47.202+168.439+338.162+873.336+10.48+11740.491+78.463+2904.468+269.35+278.676+211.54</f>
        <v>16920.607</v>
      </c>
      <c r="I55" s="187">
        <v>16920.607</v>
      </c>
      <c r="J55" s="140">
        <f>56.419+193.272+452.353+9.819+813.47+12135.483+70.489+3371.02+310.219+190.343+289.939</f>
        <v>17892.826</v>
      </c>
      <c r="K55" s="134">
        <f>J55-I55</f>
        <v>972.219000000001</v>
      </c>
      <c r="L55" s="135">
        <f t="shared" si="38"/>
        <v>0.0574576904953824</v>
      </c>
      <c r="M55" s="118">
        <f>164.309+876.921+13557.525+13.614+2454.018</f>
        <v>17066.387</v>
      </c>
      <c r="N55" s="118">
        <f>227.082+320.197+801.007+11.56+12686.16+13.381+2640.028+277.449</f>
        <v>16976.863999999998</v>
      </c>
      <c r="O55" s="118">
        <f>173.806+344.662+741.755+10+12872.312+35.542+2663.091+266.359+297.214</f>
        <v>17404.740999999998</v>
      </c>
      <c r="P55" s="118">
        <f>53.06+159.097+532.036+829.414+10.44+11921.138+105.643+260.224+255.668+222.619+2933.863</f>
        <v>17283.202</v>
      </c>
      <c r="Q55" s="140">
        <f>161.825+44.473+494.535+813.982+12.48+11659.921+62.147+2754.301+261.062+210.921+276.206</f>
        <v>16751.853</v>
      </c>
      <c r="R55" s="187">
        <v>16751.853</v>
      </c>
      <c r="S55" s="140">
        <f>50.474+161.579+549.926+9.226+761.455+11932.274+63.324+3186.952+195.905+259.155+271.06</f>
        <v>17441.329999999998</v>
      </c>
      <c r="T55" s="134">
        <f t="shared" si="78"/>
        <v>689.476999999999</v>
      </c>
      <c r="U55" s="135">
        <f t="shared" si="122"/>
        <v>0.04115825276164965</v>
      </c>
      <c r="V55" s="118">
        <f>172.773+938.828+12165.892+14.652+2147.206</f>
        <v>15439.351</v>
      </c>
      <c r="W55" s="118">
        <f>215.476+363.24+1009.678+9.2+11051.562+14.621+2150.257+308.72</f>
        <v>15122.753999999997</v>
      </c>
      <c r="X55" s="118">
        <f>189.119+432.808+859.796+9.68+11914.88+37.693+2337.983+297.205+309.089</f>
        <v>16388.253</v>
      </c>
      <c r="Y55" s="118">
        <f>50.36+164.062+539.636+889.982+10.24+10256.36+34.911+259.749+278.619+208.945+2381.069</f>
        <v>15073.933</v>
      </c>
      <c r="Z55" s="133">
        <f>43.939+172.277+521.758+838.089+10.24+10268.229+58.962+2453.638+284.068+289.972+158.11</f>
        <v>15099.281999999997</v>
      </c>
      <c r="AA55" s="187">
        <v>15399.282</v>
      </c>
      <c r="AB55" s="133">
        <f>50.109+180.791+557.183+8.889+827.527+11418.772+66.091+3086.759+199.635+309.128+298.311</f>
        <v>17003.195000000003</v>
      </c>
      <c r="AC55" s="134">
        <f t="shared" si="80"/>
        <v>1603.913000000004</v>
      </c>
      <c r="AD55" s="135">
        <f t="shared" si="124"/>
        <v>0.1041550508653588</v>
      </c>
      <c r="AE55" s="118">
        <f>(321.396+162.263)+732.01+11058.758+14.835+2180.216</f>
        <v>14469.478</v>
      </c>
      <c r="AF55" s="133">
        <f>189.778+268.273+595.181+9.48+10897.777+14.447+2274.903+305.476</f>
        <v>14555.315</v>
      </c>
      <c r="AG55" s="133">
        <f>170.643+486.365+704.439+6.84+11583.007+30.389+2281.614+262.271+233.302</f>
        <v>15758.869999999999</v>
      </c>
      <c r="AH55" s="133">
        <f>29.223+161.62+504.709+806.687+9.96+9816.913+27.995+2456.186+282.466+163.225+238.275-278.446-194.103</f>
        <v>14024.710000000003</v>
      </c>
      <c r="AI55" s="133">
        <f>22.769+157.412+650.212+702.51+8461.276+51.967+2698.935+266.638+245.936+97.19</f>
        <v>13354.845000000001</v>
      </c>
      <c r="AJ55" s="187">
        <v>14440.836</v>
      </c>
      <c r="AK55" s="133">
        <f>21.249+166.024+435.088+6.342+731.344+10036.009+51.419+2682.637+125.473+282.89+270.893</f>
        <v>14809.368</v>
      </c>
      <c r="AL55" s="153">
        <f t="shared" si="82"/>
        <v>368.53200000000106</v>
      </c>
      <c r="AM55" s="135">
        <f t="shared" si="126"/>
        <v>0.02552012916703722</v>
      </c>
      <c r="AN55" s="118">
        <f>515.498+738.019+9952.933+15.854+2239.265</f>
        <v>13461.569</v>
      </c>
      <c r="AO55" s="118">
        <f>187.109+278.201+633.707+8.52+9372.919+15.208+2346.632+325.152</f>
        <v>13167.448</v>
      </c>
      <c r="AP55" s="118">
        <f>181.005+401.761+644.31+7.28+9302.525+25.574+2437.832+193.019+255.45</f>
        <v>13448.756000000001</v>
      </c>
      <c r="AQ55" s="133">
        <f>10.292+177.756+335.228+654.8+7.64+8831.885+25.247+2595.921+130.614+324.455+252.558</f>
        <v>13346.396</v>
      </c>
      <c r="AR55" s="133">
        <f>9.127+153.788+548.279+661.128+7404.574+54.082+2885.732+225.674+296.228+82.87</f>
        <v>12321.482000000002</v>
      </c>
      <c r="AS55" s="187">
        <v>13219.573</v>
      </c>
      <c r="AT55" s="133">
        <f>175.871+14.475+563.243+6.347+701.807+9061.598+61.726+2830.941+99.101+311.08+316.535</f>
        <v>14142.724000000002</v>
      </c>
      <c r="AU55" s="134">
        <f t="shared" si="84"/>
        <v>923.1510000000017</v>
      </c>
      <c r="AV55" s="135">
        <f t="shared" si="128"/>
        <v>0.06983213451750686</v>
      </c>
      <c r="AW55" s="118">
        <f>192.279+307.376+646.97+6.88+9499.288+14.957+2343.264+372.331</f>
        <v>13383.345000000003</v>
      </c>
      <c r="AX55" s="118">
        <f>189.342+450.672+614.237+7.56+9287.718+24.704+2594.46+197.38+285.646-0.149</f>
        <v>13651.57</v>
      </c>
      <c r="AY55" s="133">
        <f>5.839+175.747+473.678+790.958+6.8+9237.394+23.844+2656.93+138.857+331.976+305.241</f>
        <v>14147.264000000001</v>
      </c>
      <c r="AZ55" s="133">
        <f>169.213+6.139+562.987+676.377+8260.452+49.617+2877.435+100.214+322.129+296.911</f>
        <v>13321.474</v>
      </c>
      <c r="BA55" s="159">
        <v>14124.306</v>
      </c>
      <c r="BB55" s="133">
        <v>14785.106</v>
      </c>
      <c r="BC55" s="134">
        <f t="shared" si="85"/>
        <v>660.7999999999993</v>
      </c>
      <c r="BD55" s="135">
        <f t="shared" si="129"/>
        <v>0.04678459954067826</v>
      </c>
      <c r="BE55" s="17">
        <f>243.659+314.102+699.833+6.68+9540.582+16.188+2113.641+397.654</f>
        <v>13332.339</v>
      </c>
      <c r="BF55" s="17">
        <f>216.063+383.373+690.825+7+10272.336+26.949+2489.987+356.308+197.394</f>
        <v>14640.235</v>
      </c>
      <c r="BG55" s="118">
        <f>7.039+195.72+512.426+754.147+7.52+9495.317+32.687+308.397+137.518+351.351+2403.564</f>
        <v>14205.686000000002</v>
      </c>
      <c r="BH55" s="133">
        <f>6.425+189.789+454.935+755.787+9319.826+65.414+2943.256+359.614+111.931+361.566</f>
        <v>14568.543</v>
      </c>
      <c r="BI55" s="187">
        <v>14533.981</v>
      </c>
      <c r="BJ55" s="133">
        <f>392.399+364.554+128.71+4.803+186.529+237.443+7.092+756.475+10525.039+61.514+3160.803</f>
        <v>15825.361</v>
      </c>
      <c r="BK55" s="134">
        <f t="shared" si="87"/>
        <v>1291.380000000001</v>
      </c>
      <c r="BL55" s="135">
        <f t="shared" si="131"/>
        <v>0.08885246237765146</v>
      </c>
      <c r="BM55" s="118">
        <f>234.282+269.996+686.777+7.24+10227.683+16.355+2430.149+405.668</f>
        <v>14278.15</v>
      </c>
      <c r="BN55" s="118">
        <f>199.236+395.162+650.505+7.28+10502.616+25.856+2809.333+175.229+329.124</f>
        <v>15094.340999999999</v>
      </c>
      <c r="BO55" s="118">
        <f>7.643+185.521+474.475+703.867+6.8+9518.176+34.636+2639.871+124.425+307.048+338.637</f>
        <v>14341.099000000002</v>
      </c>
      <c r="BP55" s="133">
        <f>7.095+173.034+579.572+675.549+9045.788+57.353+2735.06+96.858+339.983+303.31</f>
        <v>14013.601999999999</v>
      </c>
      <c r="BQ55" s="187">
        <v>14341.099</v>
      </c>
      <c r="BR55" s="133">
        <f>5.31+188.066+209.164+7.466+779.018+11029.442+62.33+3212.412+379.013+370.591+124.554</f>
        <v>16367.366</v>
      </c>
      <c r="BS55" s="134">
        <f t="shared" si="89"/>
        <v>2026.2669999999998</v>
      </c>
      <c r="BT55" s="135">
        <f t="shared" si="133"/>
        <v>0.14129091501285918</v>
      </c>
      <c r="BU55" s="118">
        <f>207.012+384.118+626.941+7.6+10050.351+14.333+2305.636+341.302</f>
        <v>13937.293000000001</v>
      </c>
      <c r="BV55" s="133">
        <f>180.645+399.073+589.287+7.92+9324.821+24.917+2474.503+129.802+270.247</f>
        <v>13401.214999999998</v>
      </c>
      <c r="BW55" s="133">
        <f>9.42+155.537+583.596+729.776+8.4+9318.619+29.777+2648.129+265.979+297.655+128.423</f>
        <v>14175.311000000002</v>
      </c>
      <c r="BX55" s="133">
        <f>10.049+162.076+517.95+6.377+685.73+9700.574+53.729+2728.025+106.184+285.925+264.727</f>
        <v>14521.346</v>
      </c>
      <c r="BY55" s="187">
        <v>14025.311</v>
      </c>
      <c r="BZ55" s="133">
        <f>7.517+156.382+196.315+6.41+682.592+9933.141+54.489+2962.109+125.891+293.629+292.701</f>
        <v>14711.176</v>
      </c>
      <c r="CA55" s="134">
        <f t="shared" si="91"/>
        <v>685.8649999999998</v>
      </c>
      <c r="CB55" s="135">
        <f t="shared" si="135"/>
        <v>0.048901945917634186</v>
      </c>
      <c r="CC55" s="118">
        <f>321.716+208.723+353.079+831.798+9+11017.357+14.221+2338.162-645.881</f>
        <v>14448.175000000001</v>
      </c>
      <c r="CD55" s="118">
        <f>16.819+169.711+595.334+802.322+9.84+10358.439+29.27+2396.751+158.124+272.003</f>
        <v>14808.613000000001</v>
      </c>
      <c r="CE55" s="155">
        <f>15.611+165.989+674.742+776.955+8.84+10443.615+29.755+2529.066+161.3+255.375+296.033</f>
        <v>15357.280999999999</v>
      </c>
      <c r="CF55" s="133">
        <f>16.239+166.937+665.946+7.698+711.137+9693.87+58.809+2609.169+249.201+120.881+253.362</f>
        <v>14553.248999999998</v>
      </c>
      <c r="CG55" s="187">
        <v>15316.056</v>
      </c>
      <c r="CH55" s="133">
        <f>20.093+168.654+337.247+7.588+730.965+10377.007+58.786+2721.761+135.76+310.743+290.835</f>
        <v>15159.439</v>
      </c>
      <c r="CI55" s="134">
        <f t="shared" si="93"/>
        <v>-156.6170000000002</v>
      </c>
      <c r="CJ55" s="135">
        <f t="shared" si="137"/>
        <v>-0.01022567428586055</v>
      </c>
      <c r="CK55" s="118">
        <f>306.696+150.799+405.378+777.768+10.52+11893.652+13.679+2322.14</f>
        <v>15880.632</v>
      </c>
      <c r="CL55" s="118">
        <f>46.265+165.838+533.571+877.835+10.2+11842.682+34.748+2572.953+268.616+191.383</f>
        <v>16544.091</v>
      </c>
      <c r="CM55" s="133">
        <f>167.89+31.005+650.295+856.134+9.4+11281.432+48.589+2572.198+276.507+265.945+183.895</f>
        <v>16343.29</v>
      </c>
      <c r="CN55" s="133">
        <f>44.848+164.5+665.11+10.117+723.074+11244.69+63.636+2917.081+276.241+290.52+149.51</f>
        <v>16549.326999999997</v>
      </c>
      <c r="CO55" s="187">
        <v>16275.275</v>
      </c>
      <c r="CP55" s="133">
        <f>42.707+166.874+466.491+8.413+733.977+11306.657+65.746+2956.674+279.11+292.956+165.376</f>
        <v>16484.980999999996</v>
      </c>
      <c r="CQ55" s="134">
        <f t="shared" si="95"/>
        <v>209.7059999999965</v>
      </c>
      <c r="CR55" s="135">
        <f t="shared" si="139"/>
        <v>0.012884943572381818</v>
      </c>
      <c r="CS55" s="118">
        <f>303.007+141.048+431.52+846.102+9.28+12881.46+13.947+2438.037</f>
        <v>17064.400999999998</v>
      </c>
      <c r="CT55" s="118">
        <f>60.613+174.507+677.476+935.179+9.8+12192.807+38.962+295.99+231.138+2720.657</f>
        <v>17337.129</v>
      </c>
      <c r="CU55" s="133">
        <f>177.234+50.895+650.544+905.998+9.84+11751.289+38.837+236.14+273.52+298.209+2713.211+1.117</f>
        <v>17106.834</v>
      </c>
      <c r="CV55" s="133">
        <f>57.34+186.181+583.285+13.044+813.824+12423.71+79.999+3208.705+320.991+205.644+308.153-8.738</f>
        <v>18192.137999999995</v>
      </c>
      <c r="CW55" s="187">
        <v>17095.769</v>
      </c>
      <c r="CX55" s="133">
        <f>52.048+171.493+515.45+11.397+800.235+12145.172+70.684+3054.146+307.879+227.314+326.045</f>
        <v>17681.862999999998</v>
      </c>
      <c r="CY55" s="153">
        <f t="shared" si="36"/>
        <v>586.0939999999973</v>
      </c>
      <c r="CZ55" s="135">
        <f t="shared" si="141"/>
        <v>0.03428298545681082</v>
      </c>
      <c r="DA55" s="146">
        <v>190863.313</v>
      </c>
      <c r="DB55" s="129">
        <f t="shared" si="143"/>
        <v>182443.948</v>
      </c>
      <c r="DC55" s="129">
        <f t="shared" si="143"/>
        <v>192304.73500000004</v>
      </c>
      <c r="DD55" s="128">
        <f t="shared" si="97"/>
        <v>9860.78700000004</v>
      </c>
      <c r="DE55" s="130">
        <f t="shared" si="142"/>
        <v>0.054048309675912294</v>
      </c>
      <c r="DF55" s="119"/>
      <c r="DG55" s="131"/>
    </row>
    <row r="56" spans="1:111" s="132" customFormat="1" ht="15.75">
      <c r="A56" s="125" t="s">
        <v>85</v>
      </c>
      <c r="B56" s="126" t="s">
        <v>33</v>
      </c>
      <c r="C56" s="127" t="s">
        <v>36</v>
      </c>
      <c r="D56" s="139">
        <v>25787.478</v>
      </c>
      <c r="E56" s="139">
        <f>0.225+6237.336+44.642+19535.839</f>
        <v>25818.042</v>
      </c>
      <c r="F56" s="139">
        <f>246.644+0.078+6117.467+44.977+18859.589</f>
        <v>25268.754999999997</v>
      </c>
      <c r="G56" s="118">
        <f>270.765+51.322+0.076+5877.77+99.806+18070.698</f>
        <v>24370.437</v>
      </c>
      <c r="H56" s="140">
        <f>237.658+71.775+0.068+5500.359+55.431+16781.819</f>
        <v>22647.11</v>
      </c>
      <c r="I56" s="187">
        <v>23316.378</v>
      </c>
      <c r="J56" s="140">
        <f>261.231+174.234+0.057+5334.732+54.579+16990.117</f>
        <v>22814.949999999997</v>
      </c>
      <c r="K56" s="134">
        <f t="shared" si="0"/>
        <v>-501.4280000000035</v>
      </c>
      <c r="L56" s="135">
        <f t="shared" si="38"/>
        <v>-0.021505398479987052</v>
      </c>
      <c r="M56" s="118">
        <f>40.295+0.231+6341.401+19356.836</f>
        <v>25738.763</v>
      </c>
      <c r="N56" s="118">
        <f>0.196+6066.462+40.273+17469.624</f>
        <v>23576.555</v>
      </c>
      <c r="O56" s="118">
        <f>219.183+0.064+6003.596+40.674+16891.46</f>
        <v>23154.977</v>
      </c>
      <c r="P56" s="118">
        <f>238.853+48.65+0.067+5836.749+87.301+16197.543</f>
        <v>22409.163</v>
      </c>
      <c r="Q56" s="140">
        <f>227.74+117.913+0.064+5399.667+51.288+15970.839</f>
        <v>21767.511</v>
      </c>
      <c r="R56" s="187">
        <v>22267.511</v>
      </c>
      <c r="S56" s="140">
        <f>242.541+160.895+0.061+5638.799+36.903+16341.627</f>
        <v>22420.826</v>
      </c>
      <c r="T56" s="134">
        <f t="shared" si="78"/>
        <v>153.31500000000233</v>
      </c>
      <c r="U56" s="135">
        <f t="shared" si="122"/>
        <v>0.006885143112762012</v>
      </c>
      <c r="V56" s="118">
        <f>0.217+5673.722+43.887+17232.768</f>
        <v>22950.593999999997</v>
      </c>
      <c r="W56" s="118">
        <f>0.171+5334.408+44.958+16866.289</f>
        <v>22245.826</v>
      </c>
      <c r="X56" s="118">
        <f>232.56+0.083+5533.943+44.302+16784.229</f>
        <v>22595.117</v>
      </c>
      <c r="Y56" s="118">
        <f>231.239+52.462+0.069+5156.243+50.213+15478.391</f>
        <v>20968.617</v>
      </c>
      <c r="Z56" s="133">
        <f>223.533+106.316+0.072+4775.07+55.661+14917.675</f>
        <v>20078.326999999997</v>
      </c>
      <c r="AA56" s="187">
        <v>20778.327</v>
      </c>
      <c r="AB56" s="133">
        <f>243.733+164.229+0.064+5197.116+41.581+15618.278</f>
        <v>21265.001</v>
      </c>
      <c r="AC56" s="134">
        <f t="shared" si="80"/>
        <v>486.67399999999907</v>
      </c>
      <c r="AD56" s="135">
        <f t="shared" si="124"/>
        <v>0.02342219371174585</v>
      </c>
      <c r="AE56" s="118">
        <f>0.166+5473.636+44.059+16648.35</f>
        <v>22166.211</v>
      </c>
      <c r="AF56" s="133">
        <f>0.163+5360.38+44.387+16512.524</f>
        <v>21917.454</v>
      </c>
      <c r="AG56" s="133">
        <f>205.823+0.06+5234.527+44.68+16233.529</f>
        <v>21718.619</v>
      </c>
      <c r="AH56" s="133">
        <f>197.927+41.393+0.069+5074.652+50.727+14903.668</f>
        <v>20268.436</v>
      </c>
      <c r="AI56" s="133">
        <f>196.969+97.984+0.066+3895.337+54.962+15452.94</f>
        <v>19698.258</v>
      </c>
      <c r="AJ56" s="187">
        <v>20267.475</v>
      </c>
      <c r="AK56" s="133">
        <f>199.26+131.791+0.112+4786.21+41.343+15286.541</f>
        <v>20445.256999999998</v>
      </c>
      <c r="AL56" s="153">
        <f t="shared" si="82"/>
        <v>177.78199999999924</v>
      </c>
      <c r="AM56" s="135">
        <f t="shared" si="126"/>
        <v>0.008771788296272686</v>
      </c>
      <c r="AN56" s="118">
        <f>0.174+4906.381+47.637+15812.554</f>
        <v>20766.746</v>
      </c>
      <c r="AO56" s="118">
        <f>0.18+4775.726+46.658+15472.667</f>
        <v>20295.231</v>
      </c>
      <c r="AP56" s="118">
        <f>211.963+0.074+4592.092+48.377+14423.599</f>
        <v>19276.105</v>
      </c>
      <c r="AQ56" s="133">
        <f>219.428+46.297+0.08+4438.033+56.395+14904.719</f>
        <v>19664.952</v>
      </c>
      <c r="AR56" s="133">
        <f>198.671+103.748+0.091+3481.742+60.292+14061.562</f>
        <v>17906.106</v>
      </c>
      <c r="AS56" s="187">
        <v>19602.195</v>
      </c>
      <c r="AT56" s="133">
        <f>224.845+164.457+0.064+4233.005+45.672+14780.351</f>
        <v>19448.394</v>
      </c>
      <c r="AU56" s="134">
        <f t="shared" si="84"/>
        <v>-153.80099999999948</v>
      </c>
      <c r="AV56" s="135">
        <f t="shared" si="128"/>
        <v>-0.007846111111536207</v>
      </c>
      <c r="AW56" s="118">
        <f>0.134+4710.966+45.366+16320.985</f>
        <v>21077.451</v>
      </c>
      <c r="AX56" s="118">
        <f>228.908+0.12+4579.677+47.721+15956.13</f>
        <v>20812.555999999997</v>
      </c>
      <c r="AY56" s="133">
        <f>239.277+50.113+0.079+4605.758+55.937+14851.677</f>
        <v>19802.841</v>
      </c>
      <c r="AZ56" s="133">
        <f>217.124+111.056+0.072+3756.248+59.361+14033.929</f>
        <v>18177.79</v>
      </c>
      <c r="BA56" s="159">
        <v>19685.472</v>
      </c>
      <c r="BB56" s="133">
        <v>18784.756</v>
      </c>
      <c r="BC56" s="134">
        <f t="shared" si="85"/>
        <v>-900.7160000000003</v>
      </c>
      <c r="BD56" s="135">
        <f t="shared" si="129"/>
        <v>-0.04575536720684169</v>
      </c>
      <c r="BE56" s="17">
        <f>0.095+0.322+4635.501+47.606+12858.135</f>
        <v>17541.659</v>
      </c>
      <c r="BF56" s="17">
        <f>282.776+0.093+4902.703+51.13+14197.228</f>
        <v>19433.93</v>
      </c>
      <c r="BG56" s="118">
        <f>247.437+52.989+0.078+4484.888+57.152+12771.814</f>
        <v>17614.358</v>
      </c>
      <c r="BH56" s="133">
        <f>265.409+136.481+0.069+4126.106+62.901+14485.846</f>
        <v>19076.811999999998</v>
      </c>
      <c r="BI56" s="187">
        <v>17636.163</v>
      </c>
      <c r="BJ56" s="133">
        <f>275.211+181.492+0.073+4662.013+47.898+15551.632</f>
        <v>20718.319</v>
      </c>
      <c r="BK56" s="134">
        <f t="shared" si="87"/>
        <v>3082.155999999999</v>
      </c>
      <c r="BL56" s="135">
        <f t="shared" si="131"/>
        <v>0.17476341083942118</v>
      </c>
      <c r="BM56" s="118">
        <f>0.087+4927.128+47.864+15173.01</f>
        <v>20148.089</v>
      </c>
      <c r="BN56" s="118">
        <f>263.133+0.078+4868.375+51.248+14974.673</f>
        <v>20157.507</v>
      </c>
      <c r="BO56" s="118">
        <f>222.269+60.316+0.086+4312.489+55.875+13944.731</f>
        <v>18595.766</v>
      </c>
      <c r="BP56" s="133">
        <f>223.451+118.056+0.093+4127.307+14146.281+60.124</f>
        <v>18675.312</v>
      </c>
      <c r="BQ56" s="187">
        <v>18445.766</v>
      </c>
      <c r="BR56" s="133">
        <f>286.24+185.868+0.072+4841.54+48.454+15857.588</f>
        <v>21219.762</v>
      </c>
      <c r="BS56" s="134">
        <f t="shared" si="89"/>
        <v>2773.995999999999</v>
      </c>
      <c r="BT56" s="135">
        <f t="shared" si="133"/>
        <v>0.15038659820362024</v>
      </c>
      <c r="BU56" s="118">
        <f>0.128+4912.061+44.149+14931.629</f>
        <v>19887.967</v>
      </c>
      <c r="BV56" s="133">
        <f>213.598+0.133+4595.991+47.935+14473.862</f>
        <v>19331.519</v>
      </c>
      <c r="BW56" s="133">
        <f>189.583+52.905+0.112+4672.633+53.058+14092.614</f>
        <v>19060.905</v>
      </c>
      <c r="BX56" s="133">
        <f>198.843+106.332+0.058+4401.79+57.123+14406.009</f>
        <v>19170.155</v>
      </c>
      <c r="BY56" s="187">
        <v>18310.905</v>
      </c>
      <c r="BZ56" s="133">
        <f>220.851+138.536+0.128+4745.899+44.195+15175.434</f>
        <v>20325.042999999998</v>
      </c>
      <c r="CA56" s="134">
        <f t="shared" si="91"/>
        <v>2014.137999999999</v>
      </c>
      <c r="CB56" s="135">
        <f t="shared" si="135"/>
        <v>0.1099966386150766</v>
      </c>
      <c r="CC56" s="118">
        <f>0.105+5570.311+43.48+17357.764+645.881</f>
        <v>23617.540999999997</v>
      </c>
      <c r="CD56" s="118">
        <f>220.456+0.313+5272.327+49.389+16169.832</f>
        <v>21712.317000000003</v>
      </c>
      <c r="CE56" s="155">
        <f>219.693+53.589+0.082+5105.529+54.553+15567.861</f>
        <v>21001.307</v>
      </c>
      <c r="CF56" s="133">
        <f>212.847+106.098+0.099+4585.395+58.579+14808.044</f>
        <v>19771.061999999998</v>
      </c>
      <c r="CG56" s="187">
        <v>20381.19</v>
      </c>
      <c r="CH56" s="133">
        <f>230.108+147.166+0.071+4610.425+45.241+14605.886</f>
        <v>19638.897</v>
      </c>
      <c r="CI56" s="134">
        <f t="shared" si="93"/>
        <v>-742.2929999999978</v>
      </c>
      <c r="CJ56" s="135">
        <f t="shared" si="137"/>
        <v>-0.03642049360218897</v>
      </c>
      <c r="CK56" s="118">
        <f>64.06+0.069+5907.543+41.573+17349.872</f>
        <v>23363.117</v>
      </c>
      <c r="CL56" s="118">
        <f>229.474+0.078+5592.9+45.912+16190.684</f>
        <v>22059.048</v>
      </c>
      <c r="CM56" s="133">
        <f>231.762+58.184+0.077+5422.144+51.733+15571.837</f>
        <v>21335.737</v>
      </c>
      <c r="CN56" s="133">
        <f>228.918+158.885+0.073+5119.35+56.643+16147.989</f>
        <v>21711.858</v>
      </c>
      <c r="CO56" s="187">
        <v>21226.821</v>
      </c>
      <c r="CP56" s="133">
        <f>230.245+153.624+0.059+5004.06+44.19+15821.695</f>
        <v>21253.873</v>
      </c>
      <c r="CQ56" s="134">
        <f t="shared" si="95"/>
        <v>27.05199999999968</v>
      </c>
      <c r="CR56" s="135">
        <f t="shared" si="139"/>
        <v>0.0012744254073655062</v>
      </c>
      <c r="CS56" s="118">
        <f>70.983+0.084+6030.296+42.457+16502.666</f>
        <v>22646.486</v>
      </c>
      <c r="CT56" s="118">
        <f>260.007+65.728+0.076+5829.25+46.351+16649.117-22.603-140</f>
        <v>22687.926</v>
      </c>
      <c r="CU56" s="133">
        <f>250.572+67.184+0.078+5653.528+53.109+16132.28</f>
        <v>22156.751</v>
      </c>
      <c r="CV56" s="133">
        <f>260.967+177.645+0.061+5651.456+56.823+16497.014+8.738</f>
        <v>22652.704</v>
      </c>
      <c r="CW56" s="187">
        <v>22155.293</v>
      </c>
      <c r="CX56" s="133">
        <f>262.561+173.378+0.071+5345.916+45.48+15660.874</f>
        <v>21488.28</v>
      </c>
      <c r="CY56" s="153">
        <f t="shared" si="36"/>
        <v>-667.0130000000026</v>
      </c>
      <c r="CZ56" s="135">
        <f t="shared" si="141"/>
        <v>-0.030106259483907643</v>
      </c>
      <c r="DA56" s="146">
        <v>248314.74000000002</v>
      </c>
      <c r="DB56" s="129">
        <f t="shared" si="143"/>
        <v>244073.496</v>
      </c>
      <c r="DC56" s="129">
        <f t="shared" si="143"/>
        <v>249823.35799999998</v>
      </c>
      <c r="DD56" s="128">
        <f t="shared" si="97"/>
        <v>5749.861999999965</v>
      </c>
      <c r="DE56" s="130">
        <f t="shared" si="142"/>
        <v>0.023557912244596867</v>
      </c>
      <c r="DF56" s="119"/>
      <c r="DG56" s="131"/>
    </row>
    <row r="57" spans="1:110" ht="15.75">
      <c r="A57" s="98" t="s">
        <v>86</v>
      </c>
      <c r="B57" s="12" t="s">
        <v>257</v>
      </c>
      <c r="C57" s="10" t="s">
        <v>36</v>
      </c>
      <c r="D57" s="138"/>
      <c r="E57" s="138"/>
      <c r="F57" s="138"/>
      <c r="G57" s="17"/>
      <c r="H57" s="17"/>
      <c r="I57" s="17"/>
      <c r="J57" s="17"/>
      <c r="K57" s="134">
        <f>J57-I57</f>
        <v>0</v>
      </c>
      <c r="L57" s="135">
        <f>IF(I57=0,0,K57/I57)</f>
        <v>0</v>
      </c>
      <c r="M57" s="17"/>
      <c r="N57" s="17"/>
      <c r="O57" s="17"/>
      <c r="P57" s="17"/>
      <c r="Q57" s="17"/>
      <c r="R57" s="17"/>
      <c r="S57" s="17"/>
      <c r="T57" s="52">
        <f>S57-R57</f>
        <v>0</v>
      </c>
      <c r="U57" s="109">
        <f>IF(R57=0,0,T57/R57)</f>
        <v>0</v>
      </c>
      <c r="V57" s="17"/>
      <c r="W57" s="17"/>
      <c r="X57" s="17"/>
      <c r="Y57" s="17"/>
      <c r="Z57" s="17"/>
      <c r="AA57" s="17"/>
      <c r="AB57" s="17"/>
      <c r="AC57" s="134">
        <f>AB57-AA57</f>
        <v>0</v>
      </c>
      <c r="AD57" s="135">
        <f>IF(AA57=0,0,AC57/AA57)</f>
        <v>0</v>
      </c>
      <c r="AE57" s="17"/>
      <c r="AF57" s="17"/>
      <c r="AG57" s="17"/>
      <c r="AH57" s="17"/>
      <c r="AI57" s="17"/>
      <c r="AJ57" s="17"/>
      <c r="AK57" s="17"/>
      <c r="AL57" s="52">
        <f t="shared" si="82"/>
        <v>0</v>
      </c>
      <c r="AM57" s="109">
        <f t="shared" si="126"/>
        <v>0</v>
      </c>
      <c r="AN57" s="17"/>
      <c r="AO57" s="17"/>
      <c r="AP57" s="17"/>
      <c r="AQ57" s="121"/>
      <c r="AR57" s="121"/>
      <c r="AS57" s="17"/>
      <c r="AT57" s="121"/>
      <c r="AU57" s="52">
        <f t="shared" si="84"/>
        <v>0</v>
      </c>
      <c r="AV57" s="109">
        <f t="shared" si="128"/>
        <v>0</v>
      </c>
      <c r="AW57" s="17"/>
      <c r="AX57" s="17"/>
      <c r="AY57" s="121"/>
      <c r="AZ57" s="17"/>
      <c r="BA57" s="17"/>
      <c r="BB57" s="17"/>
      <c r="BC57" s="52">
        <f t="shared" si="85"/>
        <v>0</v>
      </c>
      <c r="BD57" s="109">
        <f t="shared" si="129"/>
        <v>0</v>
      </c>
      <c r="BE57" s="17"/>
      <c r="BF57" s="17"/>
      <c r="BG57" s="17"/>
      <c r="BH57" s="17"/>
      <c r="BI57" s="17"/>
      <c r="BJ57" s="17"/>
      <c r="BK57" s="52">
        <f>BJ57-BI57</f>
        <v>0</v>
      </c>
      <c r="BL57" s="109">
        <f>IF(BI57=0,0,BK57/BI57)</f>
        <v>0</v>
      </c>
      <c r="BM57" s="17"/>
      <c r="BN57" s="17"/>
      <c r="BO57" s="17"/>
      <c r="BP57" s="121"/>
      <c r="BQ57" s="17"/>
      <c r="BR57" s="17"/>
      <c r="BS57" s="52">
        <f t="shared" si="89"/>
        <v>0</v>
      </c>
      <c r="BT57" s="109">
        <f t="shared" si="133"/>
        <v>0</v>
      </c>
      <c r="BU57" s="17"/>
      <c r="BV57" s="17"/>
      <c r="BW57" s="17"/>
      <c r="BX57" s="17"/>
      <c r="BY57" s="17"/>
      <c r="BZ57" s="17"/>
      <c r="CA57" s="52">
        <f t="shared" si="91"/>
        <v>0</v>
      </c>
      <c r="CB57" s="109">
        <f t="shared" si="135"/>
        <v>0</v>
      </c>
      <c r="CC57" s="17"/>
      <c r="CD57" s="17"/>
      <c r="CE57" s="141"/>
      <c r="CF57" s="141"/>
      <c r="CG57" s="17"/>
      <c r="CH57" s="141"/>
      <c r="CI57" s="52">
        <f t="shared" si="93"/>
        <v>0</v>
      </c>
      <c r="CJ57" s="109">
        <f t="shared" si="137"/>
        <v>0</v>
      </c>
      <c r="CK57" s="17"/>
      <c r="CL57" s="17"/>
      <c r="CM57" s="17"/>
      <c r="CN57" s="17"/>
      <c r="CO57" s="17"/>
      <c r="CP57" s="17"/>
      <c r="CQ57" s="52">
        <f t="shared" si="95"/>
        <v>0</v>
      </c>
      <c r="CR57" s="109">
        <f t="shared" si="139"/>
        <v>0</v>
      </c>
      <c r="CS57" s="17"/>
      <c r="CT57" s="17"/>
      <c r="CU57" s="17"/>
      <c r="CV57" s="17"/>
      <c r="CW57" s="17"/>
      <c r="CX57" s="17"/>
      <c r="CY57" s="120">
        <f t="shared" si="36"/>
        <v>0</v>
      </c>
      <c r="CZ57" s="109">
        <f t="shared" si="141"/>
        <v>0</v>
      </c>
      <c r="DA57" s="143">
        <v>0</v>
      </c>
      <c r="DB57" s="84">
        <f>I57+R57+AA57+AJ57+AS57+BA57+BI57+BQ57+BY57+CG57+CO57+CW57</f>
        <v>0</v>
      </c>
      <c r="DC57" s="106" t="e">
        <f>IF(#REF!&gt;=1,J57,I57)+IF(#REF!&gt;=2,S57,R57)+IF(#REF!&gt;=3,AB57,AA57)+IF(#REF!&gt;=4,AK57,AJ57)+IF(#REF!&gt;=5,AT57,AS57)+IF(#REF!&gt;=6,BB57,BA57)+IF(#REF!&gt;=7,BJ57,BI57)+IF(#REF!&gt;=8,BR57,BQ57)+IF(#REF!&gt;=9,BZ57,BY57)+IF(#REF!&gt;=10,CH57,CG57)+IF(#REF!&gt;=11,CP57,CO57)+IF(#REF!&gt;=12,CX57,CW57)</f>
        <v>#REF!</v>
      </c>
      <c r="DD57" s="52" t="e">
        <f>DC57-DB57</f>
        <v>#REF!</v>
      </c>
      <c r="DE57" s="113">
        <f>IF(DB57=0,0,DD57/DB57)</f>
        <v>0</v>
      </c>
      <c r="DF57" s="119"/>
    </row>
    <row r="58" spans="1:110" ht="47.25" hidden="1">
      <c r="A58" s="98" t="s">
        <v>86</v>
      </c>
      <c r="B58" s="30" t="s">
        <v>87</v>
      </c>
      <c r="C58" s="10" t="s">
        <v>36</v>
      </c>
      <c r="D58" s="52">
        <f aca="true" t="shared" si="144" ref="D58:J58">D59+D60+D61+D62+D63</f>
        <v>0</v>
      </c>
      <c r="E58" s="52">
        <f t="shared" si="144"/>
        <v>0</v>
      </c>
      <c r="F58" s="52">
        <f t="shared" si="144"/>
        <v>0</v>
      </c>
      <c r="G58" s="52">
        <f t="shared" si="144"/>
        <v>0</v>
      </c>
      <c r="H58" s="52">
        <f t="shared" si="144"/>
        <v>0</v>
      </c>
      <c r="I58" s="52">
        <f t="shared" si="144"/>
        <v>0</v>
      </c>
      <c r="J58" s="52">
        <f t="shared" si="144"/>
        <v>0</v>
      </c>
      <c r="K58" s="52">
        <f t="shared" si="0"/>
        <v>0</v>
      </c>
      <c r="L58" s="109">
        <f t="shared" si="38"/>
        <v>0</v>
      </c>
      <c r="M58" s="52">
        <f aca="true" t="shared" si="145" ref="M58:S58">M59+M60+M61+M62+M63</f>
        <v>0</v>
      </c>
      <c r="N58" s="52">
        <f t="shared" si="145"/>
        <v>0</v>
      </c>
      <c r="O58" s="52">
        <f t="shared" si="145"/>
        <v>0</v>
      </c>
      <c r="P58" s="52">
        <f t="shared" si="145"/>
        <v>0</v>
      </c>
      <c r="Q58" s="52">
        <f t="shared" si="145"/>
        <v>0</v>
      </c>
      <c r="R58" s="52">
        <f t="shared" si="145"/>
        <v>0</v>
      </c>
      <c r="S58" s="52">
        <f t="shared" si="145"/>
        <v>0</v>
      </c>
      <c r="T58" s="52">
        <f t="shared" si="78"/>
        <v>0</v>
      </c>
      <c r="U58" s="109">
        <f t="shared" si="122"/>
        <v>0</v>
      </c>
      <c r="V58" s="52">
        <f aca="true" t="shared" si="146" ref="V58:AB58">V59+V60+V61+V62+V63</f>
        <v>0</v>
      </c>
      <c r="W58" s="52">
        <f t="shared" si="146"/>
        <v>0</v>
      </c>
      <c r="X58" s="52">
        <f t="shared" si="146"/>
        <v>0</v>
      </c>
      <c r="Y58" s="52">
        <f t="shared" si="146"/>
        <v>0</v>
      </c>
      <c r="Z58" s="52">
        <f t="shared" si="146"/>
        <v>0</v>
      </c>
      <c r="AA58" s="52">
        <f t="shared" si="146"/>
        <v>0</v>
      </c>
      <c r="AB58" s="52">
        <f t="shared" si="146"/>
        <v>0</v>
      </c>
      <c r="AC58" s="52">
        <f t="shared" si="80"/>
        <v>0</v>
      </c>
      <c r="AD58" s="109">
        <f t="shared" si="124"/>
        <v>0</v>
      </c>
      <c r="AE58" s="52">
        <f>AE59+AE60+AE61+AE62+AE63</f>
        <v>0</v>
      </c>
      <c r="AF58" s="52">
        <f>AF59+AF60+AF61+AF62+AF63</f>
        <v>0</v>
      </c>
      <c r="AG58" s="52">
        <f>AG59+AG60+AG61+AG62+AG63</f>
        <v>0</v>
      </c>
      <c r="AH58" s="52">
        <f>AH59+AH60+AH61+AH62+AH63</f>
        <v>0</v>
      </c>
      <c r="AI58" s="52">
        <f>AI59+AI60+AI61+AI62+AI63</f>
        <v>0</v>
      </c>
      <c r="AJ58" s="52">
        <v>0</v>
      </c>
      <c r="AK58" s="52">
        <f>AK59+AK60+AK61+AK62+AK63</f>
        <v>0</v>
      </c>
      <c r="AL58" s="52">
        <f t="shared" si="82"/>
        <v>0</v>
      </c>
      <c r="AM58" s="109">
        <f t="shared" si="126"/>
        <v>0</v>
      </c>
      <c r="AN58" s="52">
        <f aca="true" t="shared" si="147" ref="AN58:AT58">AN59+AN60+AN61+AN62+AN63</f>
        <v>0</v>
      </c>
      <c r="AO58" s="52">
        <f t="shared" si="147"/>
        <v>0</v>
      </c>
      <c r="AP58" s="52">
        <f t="shared" si="147"/>
        <v>0</v>
      </c>
      <c r="AQ58" s="52">
        <f t="shared" si="147"/>
        <v>0</v>
      </c>
      <c r="AR58" s="52">
        <f t="shared" si="147"/>
        <v>0</v>
      </c>
      <c r="AS58" s="52">
        <f t="shared" si="147"/>
        <v>0</v>
      </c>
      <c r="AT58" s="52">
        <f t="shared" si="147"/>
        <v>0</v>
      </c>
      <c r="AU58" s="52">
        <f t="shared" si="84"/>
        <v>0</v>
      </c>
      <c r="AV58" s="109">
        <f t="shared" si="128"/>
        <v>0</v>
      </c>
      <c r="AW58" s="52">
        <f>AW59+AW60+AW61+AW62+AW63</f>
        <v>0</v>
      </c>
      <c r="AX58" s="52">
        <f>AX59+AX60+AX61+AX62+AX63</f>
        <v>0</v>
      </c>
      <c r="AY58" s="52">
        <f>AY59+AY60+AY61+AY62+AY63</f>
        <v>0</v>
      </c>
      <c r="AZ58" s="52">
        <f>AZ59+AZ60+AZ61+AZ62+AZ63</f>
        <v>0</v>
      </c>
      <c r="BA58" s="52"/>
      <c r="BB58" s="52">
        <f>BB59+BB60+BB61+BB62+BB63</f>
        <v>0</v>
      </c>
      <c r="BC58" s="52">
        <f t="shared" si="85"/>
        <v>0</v>
      </c>
      <c r="BD58" s="109">
        <f t="shared" si="129"/>
        <v>0</v>
      </c>
      <c r="BE58" s="52">
        <f aca="true" t="shared" si="148" ref="BE58:BJ58">BE59+BE60+BE61+BE62+BE63</f>
        <v>0</v>
      </c>
      <c r="BF58" s="52">
        <f t="shared" si="148"/>
        <v>0</v>
      </c>
      <c r="BG58" s="52">
        <f t="shared" si="148"/>
        <v>0</v>
      </c>
      <c r="BH58" s="52">
        <f t="shared" si="148"/>
        <v>0</v>
      </c>
      <c r="BI58" s="52">
        <f t="shared" si="148"/>
        <v>0</v>
      </c>
      <c r="BJ58" s="52">
        <f t="shared" si="148"/>
        <v>0</v>
      </c>
      <c r="BK58" s="52">
        <f t="shared" si="87"/>
        <v>0</v>
      </c>
      <c r="BL58" s="109">
        <f t="shared" si="131"/>
        <v>0</v>
      </c>
      <c r="BM58" s="52">
        <f aca="true" t="shared" si="149" ref="BM58:BR58">BM59+BM60+BM61+BM62+BM63</f>
        <v>0</v>
      </c>
      <c r="BN58" s="52">
        <f t="shared" si="149"/>
        <v>0</v>
      </c>
      <c r="BO58" s="52">
        <f t="shared" si="149"/>
        <v>0</v>
      </c>
      <c r="BP58" s="52">
        <f t="shared" si="149"/>
        <v>0</v>
      </c>
      <c r="BQ58" s="52"/>
      <c r="BR58" s="52">
        <f t="shared" si="149"/>
        <v>0</v>
      </c>
      <c r="BS58" s="52">
        <f t="shared" si="89"/>
        <v>0</v>
      </c>
      <c r="BT58" s="109">
        <f t="shared" si="133"/>
        <v>0</v>
      </c>
      <c r="BU58" s="52">
        <f aca="true" t="shared" si="150" ref="BU58:BZ58">BU59+BU60+BU61+BU62+BU63</f>
        <v>0</v>
      </c>
      <c r="BV58" s="52">
        <f t="shared" si="150"/>
        <v>0</v>
      </c>
      <c r="BW58" s="52">
        <f t="shared" si="150"/>
        <v>0</v>
      </c>
      <c r="BX58" s="52">
        <f t="shared" si="150"/>
        <v>0</v>
      </c>
      <c r="BY58" s="52">
        <f t="shared" si="150"/>
        <v>0</v>
      </c>
      <c r="BZ58" s="52">
        <f t="shared" si="150"/>
        <v>0</v>
      </c>
      <c r="CA58" s="52">
        <f t="shared" si="91"/>
        <v>0</v>
      </c>
      <c r="CB58" s="109">
        <f t="shared" si="135"/>
        <v>0</v>
      </c>
      <c r="CC58" s="52">
        <f aca="true" t="shared" si="151" ref="CC58:CH58">CC59+CC60+CC61+CC62+CC63</f>
        <v>0</v>
      </c>
      <c r="CD58" s="52">
        <f t="shared" si="151"/>
        <v>0</v>
      </c>
      <c r="CE58" s="152">
        <f t="shared" si="151"/>
        <v>0</v>
      </c>
      <c r="CF58" s="152">
        <f t="shared" si="151"/>
        <v>0</v>
      </c>
      <c r="CG58" s="52">
        <f t="shared" si="151"/>
        <v>0</v>
      </c>
      <c r="CH58" s="152">
        <f t="shared" si="151"/>
        <v>0</v>
      </c>
      <c r="CI58" s="52">
        <f t="shared" si="93"/>
        <v>0</v>
      </c>
      <c r="CJ58" s="109">
        <f t="shared" si="137"/>
        <v>0</v>
      </c>
      <c r="CK58" s="52">
        <f aca="true" t="shared" si="152" ref="CK58:CP58">CK59+CK60+CK61+CK62+CK63</f>
        <v>0</v>
      </c>
      <c r="CL58" s="52">
        <f t="shared" si="152"/>
        <v>0</v>
      </c>
      <c r="CM58" s="52">
        <f t="shared" si="152"/>
        <v>0</v>
      </c>
      <c r="CN58" s="52">
        <f t="shared" si="152"/>
        <v>0</v>
      </c>
      <c r="CO58" s="52">
        <f t="shared" si="152"/>
        <v>0</v>
      </c>
      <c r="CP58" s="52">
        <f t="shared" si="152"/>
        <v>0</v>
      </c>
      <c r="CQ58" s="52">
        <f t="shared" si="95"/>
        <v>0</v>
      </c>
      <c r="CR58" s="109">
        <f t="shared" si="139"/>
        <v>0</v>
      </c>
      <c r="CS58" s="52">
        <f aca="true" t="shared" si="153" ref="CS58:CX58">CS59+CS60+CS61+CS62+CS63</f>
        <v>0</v>
      </c>
      <c r="CT58" s="52">
        <f t="shared" si="153"/>
        <v>0</v>
      </c>
      <c r="CU58" s="52">
        <f t="shared" si="153"/>
        <v>0</v>
      </c>
      <c r="CV58" s="52">
        <f t="shared" si="153"/>
        <v>0</v>
      </c>
      <c r="CW58" s="52">
        <f t="shared" si="153"/>
        <v>0</v>
      </c>
      <c r="CX58" s="52">
        <f t="shared" si="153"/>
        <v>0</v>
      </c>
      <c r="CY58" s="52">
        <f t="shared" si="36"/>
        <v>0</v>
      </c>
      <c r="CZ58" s="109">
        <f t="shared" si="141"/>
        <v>0</v>
      </c>
      <c r="DA58" s="52">
        <v>0</v>
      </c>
      <c r="DB58" s="52">
        <f>DB59+DB60+DB61+DB62+DB63</f>
        <v>0</v>
      </c>
      <c r="DC58" s="52" t="e">
        <f>DC59+DC60+DC61+DC62+DC63</f>
        <v>#REF!</v>
      </c>
      <c r="DD58" s="52" t="e">
        <f t="shared" si="97"/>
        <v>#REF!</v>
      </c>
      <c r="DE58" s="113">
        <f t="shared" si="142"/>
        <v>0</v>
      </c>
      <c r="DF58" s="119"/>
    </row>
    <row r="59" spans="1:110" ht="15.75" hidden="1">
      <c r="A59" s="98" t="s">
        <v>88</v>
      </c>
      <c r="B59" s="12" t="s">
        <v>27</v>
      </c>
      <c r="C59" s="10" t="s">
        <v>36</v>
      </c>
      <c r="D59" s="17"/>
      <c r="E59" s="17"/>
      <c r="F59" s="17"/>
      <c r="G59" s="17"/>
      <c r="H59" s="17"/>
      <c r="I59" s="17"/>
      <c r="J59" s="17"/>
      <c r="K59" s="52">
        <f t="shared" si="0"/>
        <v>0</v>
      </c>
      <c r="L59" s="109">
        <f t="shared" si="38"/>
        <v>0</v>
      </c>
      <c r="M59" s="17"/>
      <c r="N59" s="17"/>
      <c r="O59" s="17"/>
      <c r="P59" s="17"/>
      <c r="Q59" s="17"/>
      <c r="R59" s="17"/>
      <c r="S59" s="17"/>
      <c r="T59" s="52">
        <f t="shared" si="78"/>
        <v>0</v>
      </c>
      <c r="U59" s="109">
        <f t="shared" si="122"/>
        <v>0</v>
      </c>
      <c r="V59" s="17"/>
      <c r="W59" s="17"/>
      <c r="X59" s="17"/>
      <c r="Y59" s="17"/>
      <c r="Z59" s="17"/>
      <c r="AA59" s="17"/>
      <c r="AB59" s="17"/>
      <c r="AC59" s="52">
        <f t="shared" si="80"/>
        <v>0</v>
      </c>
      <c r="AD59" s="109">
        <f t="shared" si="124"/>
        <v>0</v>
      </c>
      <c r="AE59" s="17"/>
      <c r="AF59" s="17"/>
      <c r="AG59" s="17"/>
      <c r="AH59" s="17"/>
      <c r="AI59" s="17"/>
      <c r="AJ59" s="17"/>
      <c r="AK59" s="17"/>
      <c r="AL59" s="52">
        <f t="shared" si="82"/>
        <v>0</v>
      </c>
      <c r="AM59" s="109">
        <f t="shared" si="126"/>
        <v>0</v>
      </c>
      <c r="AN59" s="17"/>
      <c r="AO59" s="17"/>
      <c r="AP59" s="17"/>
      <c r="AQ59" s="17"/>
      <c r="AR59" s="17"/>
      <c r="AS59" s="17"/>
      <c r="AT59" s="17"/>
      <c r="AU59" s="52">
        <f t="shared" si="84"/>
        <v>0</v>
      </c>
      <c r="AV59" s="109">
        <f t="shared" si="128"/>
        <v>0</v>
      </c>
      <c r="AW59" s="17"/>
      <c r="AX59" s="17"/>
      <c r="AY59" s="17"/>
      <c r="AZ59" s="17"/>
      <c r="BA59" s="17"/>
      <c r="BB59" s="17"/>
      <c r="BC59" s="52">
        <f t="shared" si="85"/>
        <v>0</v>
      </c>
      <c r="BD59" s="109">
        <f t="shared" si="129"/>
        <v>0</v>
      </c>
      <c r="BE59" s="17"/>
      <c r="BF59" s="17"/>
      <c r="BG59" s="17"/>
      <c r="BH59" s="17"/>
      <c r="BI59" s="17"/>
      <c r="BJ59" s="17"/>
      <c r="BK59" s="52">
        <f t="shared" si="87"/>
        <v>0</v>
      </c>
      <c r="BL59" s="109">
        <f t="shared" si="131"/>
        <v>0</v>
      </c>
      <c r="BM59" s="17"/>
      <c r="BN59" s="17"/>
      <c r="BO59" s="17"/>
      <c r="BP59" s="17"/>
      <c r="BQ59" s="17"/>
      <c r="BR59" s="17"/>
      <c r="BS59" s="52">
        <f t="shared" si="89"/>
        <v>0</v>
      </c>
      <c r="BT59" s="109">
        <f t="shared" si="133"/>
        <v>0</v>
      </c>
      <c r="BU59" s="17"/>
      <c r="BV59" s="17"/>
      <c r="BW59" s="17"/>
      <c r="BX59" s="17"/>
      <c r="BY59" s="17"/>
      <c r="BZ59" s="17"/>
      <c r="CA59" s="52">
        <f t="shared" si="91"/>
        <v>0</v>
      </c>
      <c r="CB59" s="109">
        <f t="shared" si="135"/>
        <v>0</v>
      </c>
      <c r="CC59" s="17"/>
      <c r="CD59" s="17"/>
      <c r="CE59" s="141"/>
      <c r="CF59" s="141"/>
      <c r="CG59" s="17"/>
      <c r="CH59" s="141"/>
      <c r="CI59" s="52">
        <f t="shared" si="93"/>
        <v>0</v>
      </c>
      <c r="CJ59" s="109">
        <f t="shared" si="137"/>
        <v>0</v>
      </c>
      <c r="CK59" s="17"/>
      <c r="CL59" s="17"/>
      <c r="CM59" s="17"/>
      <c r="CN59" s="17"/>
      <c r="CO59" s="17"/>
      <c r="CP59" s="17"/>
      <c r="CQ59" s="52">
        <f t="shared" si="95"/>
        <v>0</v>
      </c>
      <c r="CR59" s="109">
        <f t="shared" si="139"/>
        <v>0</v>
      </c>
      <c r="CS59" s="17"/>
      <c r="CT59" s="17"/>
      <c r="CU59" s="17"/>
      <c r="CV59" s="17"/>
      <c r="CW59" s="17"/>
      <c r="CX59" s="17"/>
      <c r="CY59" s="52">
        <f t="shared" si="36"/>
        <v>0</v>
      </c>
      <c r="CZ59" s="109">
        <f t="shared" si="141"/>
        <v>0</v>
      </c>
      <c r="DA59" s="142">
        <v>0</v>
      </c>
      <c r="DB59" s="84">
        <f aca="true" t="shared" si="154" ref="DB59:DB64">I59+R59+AA59+AJ59+AS59+BA59+BI59+BQ59+BY59+CG59+CO59+CW59</f>
        <v>0</v>
      </c>
      <c r="DC59" s="106" t="e">
        <f>IF(#REF!&gt;=1,J59,I59)+IF(#REF!&gt;=2,S59,R59)+IF(#REF!&gt;=3,AB59,AA59)+IF(#REF!&gt;=4,AK59,AJ59)+IF(#REF!&gt;=5,AT59,AS59)+IF(#REF!&gt;=6,BB59,BA59)+IF(#REF!&gt;=7,BJ59,BI59)+IF(#REF!&gt;=8,BR59,BQ59)+IF(#REF!&gt;=9,BZ59,BY59)+IF(#REF!&gt;=10,CH59,CG59)+IF(#REF!&gt;=11,CP59,CO59)+IF(#REF!&gt;=12,CX59,CW59)</f>
        <v>#REF!</v>
      </c>
      <c r="DD59" s="52" t="e">
        <f t="shared" si="97"/>
        <v>#REF!</v>
      </c>
      <c r="DE59" s="113">
        <f t="shared" si="142"/>
        <v>0</v>
      </c>
      <c r="DF59" s="119"/>
    </row>
    <row r="60" spans="1:110" ht="15.75" hidden="1">
      <c r="A60" s="98" t="s">
        <v>89</v>
      </c>
      <c r="B60" s="12" t="s">
        <v>83</v>
      </c>
      <c r="C60" s="10" t="s">
        <v>36</v>
      </c>
      <c r="D60" s="17"/>
      <c r="E60" s="17"/>
      <c r="F60" s="17"/>
      <c r="G60" s="17"/>
      <c r="H60" s="17"/>
      <c r="I60" s="17"/>
      <c r="J60" s="17"/>
      <c r="K60" s="52">
        <f t="shared" si="0"/>
        <v>0</v>
      </c>
      <c r="L60" s="109">
        <f t="shared" si="38"/>
        <v>0</v>
      </c>
      <c r="M60" s="17"/>
      <c r="N60" s="17"/>
      <c r="O60" s="17"/>
      <c r="P60" s="17"/>
      <c r="Q60" s="17"/>
      <c r="R60" s="17"/>
      <c r="S60" s="17"/>
      <c r="T60" s="52">
        <f t="shared" si="78"/>
        <v>0</v>
      </c>
      <c r="U60" s="109">
        <f t="shared" si="122"/>
        <v>0</v>
      </c>
      <c r="V60" s="17"/>
      <c r="W60" s="17"/>
      <c r="X60" s="17"/>
      <c r="Y60" s="17"/>
      <c r="Z60" s="17"/>
      <c r="AA60" s="17"/>
      <c r="AB60" s="17"/>
      <c r="AC60" s="52">
        <f t="shared" si="80"/>
        <v>0</v>
      </c>
      <c r="AD60" s="109">
        <f t="shared" si="124"/>
        <v>0</v>
      </c>
      <c r="AE60" s="17"/>
      <c r="AF60" s="17"/>
      <c r="AG60" s="17"/>
      <c r="AH60" s="17"/>
      <c r="AI60" s="17"/>
      <c r="AJ60" s="17"/>
      <c r="AK60" s="17"/>
      <c r="AL60" s="52">
        <f t="shared" si="82"/>
        <v>0</v>
      </c>
      <c r="AM60" s="109">
        <f t="shared" si="126"/>
        <v>0</v>
      </c>
      <c r="AN60" s="17"/>
      <c r="AO60" s="17"/>
      <c r="AP60" s="17"/>
      <c r="AQ60" s="17"/>
      <c r="AR60" s="17"/>
      <c r="AS60" s="17"/>
      <c r="AT60" s="17"/>
      <c r="AU60" s="52">
        <f t="shared" si="84"/>
        <v>0</v>
      </c>
      <c r="AV60" s="109">
        <f t="shared" si="128"/>
        <v>0</v>
      </c>
      <c r="AW60" s="17"/>
      <c r="AX60" s="17"/>
      <c r="AY60" s="17"/>
      <c r="AZ60" s="17"/>
      <c r="BA60" s="17"/>
      <c r="BB60" s="17"/>
      <c r="BC60" s="52">
        <f t="shared" si="85"/>
        <v>0</v>
      </c>
      <c r="BD60" s="109">
        <f t="shared" si="129"/>
        <v>0</v>
      </c>
      <c r="BE60" s="17"/>
      <c r="BF60" s="17"/>
      <c r="BG60" s="17"/>
      <c r="BH60" s="17"/>
      <c r="BI60" s="17"/>
      <c r="BJ60" s="17"/>
      <c r="BK60" s="52">
        <f t="shared" si="87"/>
        <v>0</v>
      </c>
      <c r="BL60" s="109">
        <f t="shared" si="131"/>
        <v>0</v>
      </c>
      <c r="BM60" s="17"/>
      <c r="BN60" s="17"/>
      <c r="BO60" s="17"/>
      <c r="BP60" s="17"/>
      <c r="BQ60" s="17"/>
      <c r="BR60" s="17"/>
      <c r="BS60" s="52">
        <f t="shared" si="89"/>
        <v>0</v>
      </c>
      <c r="BT60" s="109">
        <f t="shared" si="133"/>
        <v>0</v>
      </c>
      <c r="BU60" s="17"/>
      <c r="BV60" s="17"/>
      <c r="BW60" s="17"/>
      <c r="BX60" s="17"/>
      <c r="BY60" s="17"/>
      <c r="BZ60" s="17"/>
      <c r="CA60" s="52">
        <f t="shared" si="91"/>
        <v>0</v>
      </c>
      <c r="CB60" s="109">
        <f t="shared" si="135"/>
        <v>0</v>
      </c>
      <c r="CC60" s="17"/>
      <c r="CD60" s="17"/>
      <c r="CE60" s="141"/>
      <c r="CF60" s="141"/>
      <c r="CG60" s="17"/>
      <c r="CH60" s="141"/>
      <c r="CI60" s="52">
        <f t="shared" si="93"/>
        <v>0</v>
      </c>
      <c r="CJ60" s="109">
        <f t="shared" si="137"/>
        <v>0</v>
      </c>
      <c r="CK60" s="17"/>
      <c r="CL60" s="17"/>
      <c r="CM60" s="17"/>
      <c r="CN60" s="17"/>
      <c r="CO60" s="17"/>
      <c r="CP60" s="17"/>
      <c r="CQ60" s="52">
        <f t="shared" si="95"/>
        <v>0</v>
      </c>
      <c r="CR60" s="109">
        <f t="shared" si="139"/>
        <v>0</v>
      </c>
      <c r="CS60" s="17"/>
      <c r="CT60" s="17"/>
      <c r="CU60" s="17"/>
      <c r="CV60" s="17"/>
      <c r="CW60" s="17"/>
      <c r="CX60" s="17"/>
      <c r="CY60" s="52">
        <f t="shared" si="36"/>
        <v>0</v>
      </c>
      <c r="CZ60" s="109">
        <f t="shared" si="141"/>
        <v>0</v>
      </c>
      <c r="DA60" s="142">
        <v>0</v>
      </c>
      <c r="DB60" s="84">
        <f t="shared" si="154"/>
        <v>0</v>
      </c>
      <c r="DC60" s="106" t="e">
        <f>IF(#REF!&gt;=1,J60,I60)+IF(#REF!&gt;=2,S60,R60)+IF(#REF!&gt;=3,AB60,AA60)+IF(#REF!&gt;=4,AK60,AJ60)+IF(#REF!&gt;=5,AT60,AS60)+IF(#REF!&gt;=6,BB60,BA60)+IF(#REF!&gt;=7,BJ60,BI60)+IF(#REF!&gt;=8,BR60,BQ60)+IF(#REF!&gt;=9,BZ60,BY60)+IF(#REF!&gt;=10,CH60,CG60)+IF(#REF!&gt;=11,CP60,CO60)+IF(#REF!&gt;=12,CX60,CW60)</f>
        <v>#REF!</v>
      </c>
      <c r="DD60" s="52" t="e">
        <f t="shared" si="97"/>
        <v>#REF!</v>
      </c>
      <c r="DE60" s="113">
        <f t="shared" si="142"/>
        <v>0</v>
      </c>
      <c r="DF60" s="119"/>
    </row>
    <row r="61" spans="1:110" ht="15.75" hidden="1">
      <c r="A61" s="98" t="s">
        <v>90</v>
      </c>
      <c r="B61" s="12" t="s">
        <v>31</v>
      </c>
      <c r="C61" s="10" t="s">
        <v>36</v>
      </c>
      <c r="D61" s="17"/>
      <c r="E61" s="17"/>
      <c r="F61" s="17"/>
      <c r="G61" s="17"/>
      <c r="H61" s="17"/>
      <c r="I61" s="17"/>
      <c r="J61" s="17"/>
      <c r="K61" s="52">
        <f t="shared" si="0"/>
        <v>0</v>
      </c>
      <c r="L61" s="109">
        <f t="shared" si="38"/>
        <v>0</v>
      </c>
      <c r="M61" s="17"/>
      <c r="N61" s="17"/>
      <c r="O61" s="17"/>
      <c r="P61" s="17"/>
      <c r="Q61" s="17"/>
      <c r="R61" s="17"/>
      <c r="S61" s="17"/>
      <c r="T61" s="52">
        <f t="shared" si="78"/>
        <v>0</v>
      </c>
      <c r="U61" s="109">
        <f t="shared" si="122"/>
        <v>0</v>
      </c>
      <c r="V61" s="17"/>
      <c r="W61" s="17"/>
      <c r="X61" s="17"/>
      <c r="Y61" s="17"/>
      <c r="Z61" s="17"/>
      <c r="AA61" s="17"/>
      <c r="AB61" s="17"/>
      <c r="AC61" s="52">
        <f t="shared" si="80"/>
        <v>0</v>
      </c>
      <c r="AD61" s="109">
        <f t="shared" si="124"/>
        <v>0</v>
      </c>
      <c r="AE61" s="17"/>
      <c r="AF61" s="17"/>
      <c r="AG61" s="17"/>
      <c r="AH61" s="17"/>
      <c r="AI61" s="17"/>
      <c r="AJ61" s="17"/>
      <c r="AK61" s="17"/>
      <c r="AL61" s="52">
        <f t="shared" si="82"/>
        <v>0</v>
      </c>
      <c r="AM61" s="109">
        <f t="shared" si="126"/>
        <v>0</v>
      </c>
      <c r="AN61" s="17"/>
      <c r="AO61" s="17"/>
      <c r="AP61" s="17"/>
      <c r="AQ61" s="17"/>
      <c r="AR61" s="17"/>
      <c r="AS61" s="17"/>
      <c r="AT61" s="17"/>
      <c r="AU61" s="52">
        <f t="shared" si="84"/>
        <v>0</v>
      </c>
      <c r="AV61" s="109">
        <f t="shared" si="128"/>
        <v>0</v>
      </c>
      <c r="AW61" s="17"/>
      <c r="AX61" s="17"/>
      <c r="AY61" s="17"/>
      <c r="AZ61" s="17"/>
      <c r="BA61" s="17"/>
      <c r="BB61" s="17"/>
      <c r="BC61" s="52">
        <f t="shared" si="85"/>
        <v>0</v>
      </c>
      <c r="BD61" s="109">
        <f t="shared" si="129"/>
        <v>0</v>
      </c>
      <c r="BE61" s="17"/>
      <c r="BF61" s="17"/>
      <c r="BG61" s="17"/>
      <c r="BH61" s="17"/>
      <c r="BI61" s="17"/>
      <c r="BJ61" s="17"/>
      <c r="BK61" s="52">
        <f t="shared" si="87"/>
        <v>0</v>
      </c>
      <c r="BL61" s="109">
        <f t="shared" si="131"/>
        <v>0</v>
      </c>
      <c r="BM61" s="17"/>
      <c r="BN61" s="17"/>
      <c r="BO61" s="17"/>
      <c r="BP61" s="17"/>
      <c r="BQ61" s="17"/>
      <c r="BR61" s="17"/>
      <c r="BS61" s="52">
        <f t="shared" si="89"/>
        <v>0</v>
      </c>
      <c r="BT61" s="109">
        <f t="shared" si="133"/>
        <v>0</v>
      </c>
      <c r="BU61" s="17"/>
      <c r="BV61" s="17"/>
      <c r="BW61" s="17"/>
      <c r="BX61" s="17"/>
      <c r="BY61" s="17"/>
      <c r="BZ61" s="17"/>
      <c r="CA61" s="52">
        <f t="shared" si="91"/>
        <v>0</v>
      </c>
      <c r="CB61" s="109">
        <f t="shared" si="135"/>
        <v>0</v>
      </c>
      <c r="CC61" s="17"/>
      <c r="CD61" s="17"/>
      <c r="CE61" s="141"/>
      <c r="CF61" s="141"/>
      <c r="CG61" s="17"/>
      <c r="CH61" s="141"/>
      <c r="CI61" s="52">
        <f t="shared" si="93"/>
        <v>0</v>
      </c>
      <c r="CJ61" s="109">
        <f t="shared" si="137"/>
        <v>0</v>
      </c>
      <c r="CK61" s="17"/>
      <c r="CL61" s="17"/>
      <c r="CM61" s="17"/>
      <c r="CN61" s="17"/>
      <c r="CO61" s="17"/>
      <c r="CP61" s="17"/>
      <c r="CQ61" s="52">
        <f t="shared" si="95"/>
        <v>0</v>
      </c>
      <c r="CR61" s="109">
        <f t="shared" si="139"/>
        <v>0</v>
      </c>
      <c r="CS61" s="17"/>
      <c r="CT61" s="17"/>
      <c r="CU61" s="17"/>
      <c r="CV61" s="17"/>
      <c r="CW61" s="17"/>
      <c r="CX61" s="17"/>
      <c r="CY61" s="52">
        <f t="shared" si="36"/>
        <v>0</v>
      </c>
      <c r="CZ61" s="109">
        <f t="shared" si="141"/>
        <v>0</v>
      </c>
      <c r="DA61" s="142">
        <v>0</v>
      </c>
      <c r="DB61" s="84">
        <f t="shared" si="154"/>
        <v>0</v>
      </c>
      <c r="DC61" s="106" t="e">
        <f>IF(#REF!&gt;=1,J61,I61)+IF(#REF!&gt;=2,S61,R61)+IF(#REF!&gt;=3,AB61,AA61)+IF(#REF!&gt;=4,AK61,AJ61)+IF(#REF!&gt;=5,AT61,AS61)+IF(#REF!&gt;=6,BB61,BA61)+IF(#REF!&gt;=7,BJ61,BI61)+IF(#REF!&gt;=8,BR61,BQ61)+IF(#REF!&gt;=9,BZ61,BY61)+IF(#REF!&gt;=10,CH61,CG61)+IF(#REF!&gt;=11,CP61,CO61)+IF(#REF!&gt;=12,CX61,CW61)</f>
        <v>#REF!</v>
      </c>
      <c r="DD61" s="52" t="e">
        <f t="shared" si="97"/>
        <v>#REF!</v>
      </c>
      <c r="DE61" s="113">
        <f t="shared" si="142"/>
        <v>0</v>
      </c>
      <c r="DF61" s="119"/>
    </row>
    <row r="62" spans="1:110" ht="15.75" hidden="1">
      <c r="A62" s="98" t="s">
        <v>91</v>
      </c>
      <c r="B62" s="12" t="s">
        <v>33</v>
      </c>
      <c r="C62" s="10" t="s">
        <v>36</v>
      </c>
      <c r="D62" s="17"/>
      <c r="E62" s="17"/>
      <c r="F62" s="17"/>
      <c r="G62" s="17"/>
      <c r="H62" s="17"/>
      <c r="I62" s="17"/>
      <c r="J62" s="17"/>
      <c r="K62" s="52">
        <f t="shared" si="0"/>
        <v>0</v>
      </c>
      <c r="L62" s="109">
        <f t="shared" si="38"/>
        <v>0</v>
      </c>
      <c r="M62" s="17"/>
      <c r="N62" s="17"/>
      <c r="O62" s="17"/>
      <c r="P62" s="17"/>
      <c r="Q62" s="17"/>
      <c r="R62" s="17"/>
      <c r="S62" s="17"/>
      <c r="T62" s="52">
        <f t="shared" si="78"/>
        <v>0</v>
      </c>
      <c r="U62" s="109">
        <f t="shared" si="122"/>
        <v>0</v>
      </c>
      <c r="V62" s="17"/>
      <c r="W62" s="17"/>
      <c r="X62" s="17"/>
      <c r="Y62" s="17"/>
      <c r="Z62" s="17"/>
      <c r="AA62" s="17"/>
      <c r="AB62" s="17"/>
      <c r="AC62" s="52">
        <f t="shared" si="80"/>
        <v>0</v>
      </c>
      <c r="AD62" s="109">
        <f t="shared" si="124"/>
        <v>0</v>
      </c>
      <c r="AE62" s="17"/>
      <c r="AF62" s="17"/>
      <c r="AG62" s="17"/>
      <c r="AH62" s="17"/>
      <c r="AI62" s="17"/>
      <c r="AJ62" s="17"/>
      <c r="AK62" s="17"/>
      <c r="AL62" s="52">
        <f t="shared" si="82"/>
        <v>0</v>
      </c>
      <c r="AM62" s="109">
        <f t="shared" si="126"/>
        <v>0</v>
      </c>
      <c r="AN62" s="17"/>
      <c r="AO62" s="17"/>
      <c r="AP62" s="17"/>
      <c r="AQ62" s="17"/>
      <c r="AR62" s="17"/>
      <c r="AS62" s="17"/>
      <c r="AT62" s="17"/>
      <c r="AU62" s="52">
        <f t="shared" si="84"/>
        <v>0</v>
      </c>
      <c r="AV62" s="109">
        <f t="shared" si="128"/>
        <v>0</v>
      </c>
      <c r="AW62" s="17"/>
      <c r="AX62" s="17"/>
      <c r="AY62" s="17"/>
      <c r="AZ62" s="17"/>
      <c r="BA62" s="17"/>
      <c r="BB62" s="17"/>
      <c r="BC62" s="52">
        <f t="shared" si="85"/>
        <v>0</v>
      </c>
      <c r="BD62" s="109">
        <f t="shared" si="129"/>
        <v>0</v>
      </c>
      <c r="BE62" s="17"/>
      <c r="BF62" s="17"/>
      <c r="BG62" s="17"/>
      <c r="BH62" s="17"/>
      <c r="BI62" s="17"/>
      <c r="BJ62" s="17"/>
      <c r="BK62" s="52">
        <f t="shared" si="87"/>
        <v>0</v>
      </c>
      <c r="BL62" s="109">
        <f t="shared" si="131"/>
        <v>0</v>
      </c>
      <c r="BM62" s="17"/>
      <c r="BN62" s="17"/>
      <c r="BO62" s="17"/>
      <c r="BP62" s="17"/>
      <c r="BQ62" s="17"/>
      <c r="BR62" s="17"/>
      <c r="BS62" s="52">
        <f t="shared" si="89"/>
        <v>0</v>
      </c>
      <c r="BT62" s="109">
        <f t="shared" si="133"/>
        <v>0</v>
      </c>
      <c r="BU62" s="17"/>
      <c r="BV62" s="17"/>
      <c r="BW62" s="17"/>
      <c r="BX62" s="17"/>
      <c r="BY62" s="17"/>
      <c r="BZ62" s="17"/>
      <c r="CA62" s="52">
        <f t="shared" si="91"/>
        <v>0</v>
      </c>
      <c r="CB62" s="109">
        <f t="shared" si="135"/>
        <v>0</v>
      </c>
      <c r="CC62" s="17"/>
      <c r="CD62" s="17"/>
      <c r="CE62" s="141"/>
      <c r="CF62" s="141"/>
      <c r="CG62" s="17"/>
      <c r="CH62" s="141"/>
      <c r="CI62" s="52">
        <f t="shared" si="93"/>
        <v>0</v>
      </c>
      <c r="CJ62" s="109">
        <f t="shared" si="137"/>
        <v>0</v>
      </c>
      <c r="CK62" s="17"/>
      <c r="CL62" s="17"/>
      <c r="CM62" s="17"/>
      <c r="CN62" s="17"/>
      <c r="CO62" s="17"/>
      <c r="CP62" s="17"/>
      <c r="CQ62" s="52">
        <f t="shared" si="95"/>
        <v>0</v>
      </c>
      <c r="CR62" s="109">
        <f>IF(CO62=0,0,CQ62/CO62)</f>
        <v>0</v>
      </c>
      <c r="CS62" s="17"/>
      <c r="CT62" s="17"/>
      <c r="CU62" s="17"/>
      <c r="CV62" s="17"/>
      <c r="CW62" s="17"/>
      <c r="CX62" s="17"/>
      <c r="CY62" s="52">
        <f t="shared" si="36"/>
        <v>0</v>
      </c>
      <c r="CZ62" s="109">
        <f t="shared" si="141"/>
        <v>0</v>
      </c>
      <c r="DA62" s="142">
        <v>0</v>
      </c>
      <c r="DB62" s="84">
        <f t="shared" si="154"/>
        <v>0</v>
      </c>
      <c r="DC62" s="106" t="e">
        <f>IF(#REF!&gt;=1,J62,I62)+IF(#REF!&gt;=2,S62,R62)+IF(#REF!&gt;=3,AB62,AA62)+IF(#REF!&gt;=4,AK62,AJ62)+IF(#REF!&gt;=5,AT62,AS62)+IF(#REF!&gt;=6,BB62,BA62)+IF(#REF!&gt;=7,BJ62,BI62)+IF(#REF!&gt;=8,BR62,BQ62)+IF(#REF!&gt;=9,BZ62,BY62)+IF(#REF!&gt;=10,CH62,CG62)+IF(#REF!&gt;=11,CP62,CO62)+IF(#REF!&gt;=12,CX62,CW62)</f>
        <v>#REF!</v>
      </c>
      <c r="DD62" s="52" t="e">
        <f t="shared" si="97"/>
        <v>#REF!</v>
      </c>
      <c r="DE62" s="113">
        <f t="shared" si="142"/>
        <v>0</v>
      </c>
      <c r="DF62" s="119"/>
    </row>
    <row r="63" spans="1:110" ht="15.75" hidden="1">
      <c r="A63" s="98" t="s">
        <v>258</v>
      </c>
      <c r="B63" s="12" t="s">
        <v>257</v>
      </c>
      <c r="C63" s="10" t="s">
        <v>36</v>
      </c>
      <c r="D63" s="17"/>
      <c r="E63" s="17"/>
      <c r="F63" s="17"/>
      <c r="G63" s="17"/>
      <c r="H63" s="17"/>
      <c r="I63" s="17"/>
      <c r="J63" s="17"/>
      <c r="K63" s="52">
        <f>J63-I63</f>
        <v>0</v>
      </c>
      <c r="L63" s="109">
        <f>IF(I63=0,0,K63/I63)</f>
        <v>0</v>
      </c>
      <c r="M63" s="17"/>
      <c r="N63" s="17"/>
      <c r="O63" s="17"/>
      <c r="P63" s="17"/>
      <c r="Q63" s="17"/>
      <c r="R63" s="17"/>
      <c r="S63" s="17"/>
      <c r="T63" s="52">
        <f t="shared" si="78"/>
        <v>0</v>
      </c>
      <c r="U63" s="109">
        <f t="shared" si="122"/>
        <v>0</v>
      </c>
      <c r="V63" s="17"/>
      <c r="W63" s="17"/>
      <c r="X63" s="17"/>
      <c r="Y63" s="17"/>
      <c r="Z63" s="17"/>
      <c r="AA63" s="17"/>
      <c r="AB63" s="17"/>
      <c r="AC63" s="52">
        <f t="shared" si="80"/>
        <v>0</v>
      </c>
      <c r="AD63" s="109">
        <f t="shared" si="124"/>
        <v>0</v>
      </c>
      <c r="AE63" s="17"/>
      <c r="AF63" s="17"/>
      <c r="AG63" s="17"/>
      <c r="AH63" s="17"/>
      <c r="AI63" s="17"/>
      <c r="AJ63" s="17"/>
      <c r="AK63" s="17"/>
      <c r="AL63" s="52">
        <f t="shared" si="82"/>
        <v>0</v>
      </c>
      <c r="AM63" s="109">
        <f t="shared" si="126"/>
        <v>0</v>
      </c>
      <c r="AN63" s="17"/>
      <c r="AO63" s="17"/>
      <c r="AP63" s="17"/>
      <c r="AQ63" s="17"/>
      <c r="AR63" s="17"/>
      <c r="AS63" s="17"/>
      <c r="AT63" s="17"/>
      <c r="AU63" s="52">
        <f t="shared" si="84"/>
        <v>0</v>
      </c>
      <c r="AV63" s="109">
        <f t="shared" si="128"/>
        <v>0</v>
      </c>
      <c r="AW63" s="17"/>
      <c r="AX63" s="17"/>
      <c r="AY63" s="17"/>
      <c r="AZ63" s="17"/>
      <c r="BA63" s="17"/>
      <c r="BB63" s="17"/>
      <c r="BC63" s="52">
        <f t="shared" si="85"/>
        <v>0</v>
      </c>
      <c r="BD63" s="109">
        <f t="shared" si="129"/>
        <v>0</v>
      </c>
      <c r="BE63" s="17"/>
      <c r="BF63" s="17"/>
      <c r="BG63" s="17"/>
      <c r="BH63" s="17"/>
      <c r="BI63" s="17"/>
      <c r="BJ63" s="17"/>
      <c r="BK63" s="52">
        <f t="shared" si="87"/>
        <v>0</v>
      </c>
      <c r="BL63" s="109">
        <f t="shared" si="131"/>
        <v>0</v>
      </c>
      <c r="BM63" s="17"/>
      <c r="BN63" s="17"/>
      <c r="BO63" s="17"/>
      <c r="BP63" s="17"/>
      <c r="BQ63" s="17"/>
      <c r="BR63" s="17"/>
      <c r="BS63" s="52">
        <f t="shared" si="89"/>
        <v>0</v>
      </c>
      <c r="BT63" s="109">
        <f t="shared" si="133"/>
        <v>0</v>
      </c>
      <c r="BU63" s="17"/>
      <c r="BV63" s="17"/>
      <c r="BW63" s="17"/>
      <c r="BX63" s="17"/>
      <c r="BY63" s="17"/>
      <c r="BZ63" s="17"/>
      <c r="CA63" s="52">
        <f t="shared" si="91"/>
        <v>0</v>
      </c>
      <c r="CB63" s="109">
        <f t="shared" si="135"/>
        <v>0</v>
      </c>
      <c r="CC63" s="17"/>
      <c r="CD63" s="17"/>
      <c r="CE63" s="141"/>
      <c r="CF63" s="141"/>
      <c r="CG63" s="17"/>
      <c r="CH63" s="141"/>
      <c r="CI63" s="52">
        <f t="shared" si="93"/>
        <v>0</v>
      </c>
      <c r="CJ63" s="109">
        <f t="shared" si="137"/>
        <v>0</v>
      </c>
      <c r="CK63" s="17"/>
      <c r="CL63" s="17"/>
      <c r="CM63" s="17"/>
      <c r="CN63" s="17"/>
      <c r="CO63" s="17"/>
      <c r="CP63" s="17"/>
      <c r="CQ63" s="52">
        <f t="shared" si="95"/>
        <v>0</v>
      </c>
      <c r="CR63" s="109">
        <f t="shared" si="139"/>
        <v>0</v>
      </c>
      <c r="CS63" s="17"/>
      <c r="CT63" s="17"/>
      <c r="CU63" s="17"/>
      <c r="CV63" s="17"/>
      <c r="CW63" s="17"/>
      <c r="CX63" s="17"/>
      <c r="CY63" s="52">
        <f t="shared" si="36"/>
        <v>0</v>
      </c>
      <c r="CZ63" s="109">
        <f t="shared" si="141"/>
        <v>0</v>
      </c>
      <c r="DA63" s="142">
        <v>0</v>
      </c>
      <c r="DB63" s="84">
        <f t="shared" si="154"/>
        <v>0</v>
      </c>
      <c r="DC63" s="106" t="e">
        <f>IF(#REF!&gt;=1,J63,I63)+IF(#REF!&gt;=2,S63,R63)+IF(#REF!&gt;=3,AB63,AA63)+IF(#REF!&gt;=4,AK63,AJ63)+IF(#REF!&gt;=5,AT63,AS63)+IF(#REF!&gt;=6,BB63,BA63)+IF(#REF!&gt;=7,BJ63,BI63)+IF(#REF!&gt;=8,BR63,BQ63)+IF(#REF!&gt;=9,BZ63,BY63)+IF(#REF!&gt;=10,CH63,CG63)+IF(#REF!&gt;=11,CP63,CO63)+IF(#REF!&gt;=12,CX63,CW63)</f>
        <v>#REF!</v>
      </c>
      <c r="DD63" s="52" t="e">
        <f>DC63-DB63</f>
        <v>#REF!</v>
      </c>
      <c r="DE63" s="113">
        <f>IF(DB63=0,0,DD63/DB63)</f>
        <v>0</v>
      </c>
      <c r="DF63" s="119"/>
    </row>
    <row r="64" spans="1:110" ht="31.5" hidden="1">
      <c r="A64" s="98" t="s">
        <v>92</v>
      </c>
      <c r="B64" s="18" t="s">
        <v>93</v>
      </c>
      <c r="C64" s="31" t="s">
        <v>36</v>
      </c>
      <c r="D64" s="17"/>
      <c r="E64" s="17"/>
      <c r="F64" s="17"/>
      <c r="G64" s="17"/>
      <c r="H64" s="17"/>
      <c r="I64" s="17"/>
      <c r="J64" s="17"/>
      <c r="K64" s="52" t="s">
        <v>250</v>
      </c>
      <c r="L64" s="52" t="s">
        <v>250</v>
      </c>
      <c r="M64" s="17"/>
      <c r="N64" s="17"/>
      <c r="O64" s="17"/>
      <c r="P64" s="17"/>
      <c r="Q64" s="17"/>
      <c r="R64" s="17"/>
      <c r="S64" s="17"/>
      <c r="T64" s="52" t="s">
        <v>250</v>
      </c>
      <c r="U64" s="52" t="s">
        <v>250</v>
      </c>
      <c r="V64" s="17"/>
      <c r="W64" s="17"/>
      <c r="X64" s="17"/>
      <c r="Y64" s="17"/>
      <c r="Z64" s="17"/>
      <c r="AA64" s="17"/>
      <c r="AB64" s="17"/>
      <c r="AC64" s="52" t="s">
        <v>250</v>
      </c>
      <c r="AD64" s="52" t="s">
        <v>250</v>
      </c>
      <c r="AE64" s="17"/>
      <c r="AF64" s="17"/>
      <c r="AG64" s="17"/>
      <c r="AH64" s="17"/>
      <c r="AI64" s="17"/>
      <c r="AJ64" s="17"/>
      <c r="AK64" s="17"/>
      <c r="AL64" s="52" t="s">
        <v>250</v>
      </c>
      <c r="AM64" s="52" t="s">
        <v>250</v>
      </c>
      <c r="AN64" s="17"/>
      <c r="AO64" s="17"/>
      <c r="AP64" s="17"/>
      <c r="AQ64" s="17"/>
      <c r="AR64" s="17"/>
      <c r="AS64" s="17"/>
      <c r="AT64" s="17"/>
      <c r="AU64" s="52" t="s">
        <v>250</v>
      </c>
      <c r="AV64" s="52" t="s">
        <v>250</v>
      </c>
      <c r="AW64" s="17"/>
      <c r="AX64" s="17"/>
      <c r="AY64" s="17"/>
      <c r="AZ64" s="17"/>
      <c r="BA64" s="17"/>
      <c r="BB64" s="17"/>
      <c r="BC64" s="52" t="s">
        <v>250</v>
      </c>
      <c r="BD64" s="52" t="s">
        <v>250</v>
      </c>
      <c r="BE64" s="17"/>
      <c r="BF64" s="17"/>
      <c r="BG64" s="17"/>
      <c r="BH64" s="17"/>
      <c r="BI64" s="17"/>
      <c r="BJ64" s="17"/>
      <c r="BK64" s="52" t="s">
        <v>250</v>
      </c>
      <c r="BL64" s="52" t="s">
        <v>250</v>
      </c>
      <c r="BM64" s="17"/>
      <c r="BN64" s="17"/>
      <c r="BO64" s="17"/>
      <c r="BP64" s="17"/>
      <c r="BQ64" s="17"/>
      <c r="BR64" s="17"/>
      <c r="BS64" s="52" t="s">
        <v>250</v>
      </c>
      <c r="BT64" s="52" t="s">
        <v>250</v>
      </c>
      <c r="BU64" s="17"/>
      <c r="BV64" s="17"/>
      <c r="BW64" s="17"/>
      <c r="BX64" s="17"/>
      <c r="BY64" s="17"/>
      <c r="BZ64" s="17"/>
      <c r="CA64" s="52" t="s">
        <v>250</v>
      </c>
      <c r="CB64" s="52" t="s">
        <v>250</v>
      </c>
      <c r="CC64" s="17"/>
      <c r="CD64" s="17"/>
      <c r="CE64" s="141"/>
      <c r="CF64" s="141"/>
      <c r="CG64" s="17"/>
      <c r="CH64" s="141"/>
      <c r="CI64" s="52" t="s">
        <v>250</v>
      </c>
      <c r="CJ64" s="52" t="s">
        <v>250</v>
      </c>
      <c r="CK64" s="17"/>
      <c r="CL64" s="17"/>
      <c r="CM64" s="17"/>
      <c r="CN64" s="17"/>
      <c r="CO64" s="17"/>
      <c r="CP64" s="17"/>
      <c r="CQ64" s="52" t="s">
        <v>250</v>
      </c>
      <c r="CR64" s="52" t="s">
        <v>250</v>
      </c>
      <c r="CS64" s="17"/>
      <c r="CT64" s="17"/>
      <c r="CU64" s="17"/>
      <c r="CV64" s="17"/>
      <c r="CW64" s="17"/>
      <c r="CX64" s="17"/>
      <c r="CY64" s="52" t="s">
        <v>250</v>
      </c>
      <c r="CZ64" s="52" t="s">
        <v>250</v>
      </c>
      <c r="DA64" s="142">
        <v>0</v>
      </c>
      <c r="DB64" s="84">
        <f t="shared" si="154"/>
        <v>0</v>
      </c>
      <c r="DC64" s="106" t="e">
        <f>IF(#REF!&gt;=1,J64,I64)+IF(#REF!&gt;=2,S64,R64)+IF(#REF!&gt;=3,AB64,AA64)+IF(#REF!&gt;=4,AK64,AJ64)+IF(#REF!&gt;=5,AT64,AS64)+IF(#REF!&gt;=6,BB64,BA64)+IF(#REF!&gt;=7,BJ64,BI64)+IF(#REF!&gt;=8,BR64,BQ64)+IF(#REF!&gt;=9,BZ64,BY64)+IF(#REF!&gt;=10,CH64,CG64)+IF(#REF!&gt;=11,CP64,CO64)+IF(#REF!&gt;=12,CX64,CW64)</f>
        <v>#REF!</v>
      </c>
      <c r="DD64" s="52" t="s">
        <v>250</v>
      </c>
      <c r="DE64" s="83" t="s">
        <v>250</v>
      </c>
      <c r="DF64" s="119"/>
    </row>
    <row r="65" spans="1:110" ht="15.75" hidden="1">
      <c r="A65" s="98" t="s">
        <v>94</v>
      </c>
      <c r="B65" s="29" t="s">
        <v>55</v>
      </c>
      <c r="C65" s="10" t="s">
        <v>56</v>
      </c>
      <c r="D65" s="52">
        <f aca="true" t="shared" si="155" ref="D65:J65">D66+D67+D68+D69+D70</f>
        <v>0</v>
      </c>
      <c r="E65" s="52">
        <f t="shared" si="155"/>
        <v>0</v>
      </c>
      <c r="F65" s="52">
        <f t="shared" si="155"/>
        <v>0</v>
      </c>
      <c r="G65" s="52">
        <f t="shared" si="155"/>
        <v>0</v>
      </c>
      <c r="H65" s="52">
        <f t="shared" si="155"/>
        <v>0</v>
      </c>
      <c r="I65" s="52">
        <f t="shared" si="155"/>
        <v>0</v>
      </c>
      <c r="J65" s="52">
        <f t="shared" si="155"/>
        <v>0</v>
      </c>
      <c r="K65" s="52">
        <f t="shared" si="0"/>
        <v>0</v>
      </c>
      <c r="L65" s="109">
        <f t="shared" si="38"/>
        <v>0</v>
      </c>
      <c r="M65" s="52">
        <f aca="true" t="shared" si="156" ref="M65:S65">M66+M67+M68+M69+M70</f>
        <v>0</v>
      </c>
      <c r="N65" s="52">
        <f t="shared" si="156"/>
        <v>0</v>
      </c>
      <c r="O65" s="52">
        <f t="shared" si="156"/>
        <v>0</v>
      </c>
      <c r="P65" s="52">
        <f t="shared" si="156"/>
        <v>0</v>
      </c>
      <c r="Q65" s="52">
        <f t="shared" si="156"/>
        <v>0</v>
      </c>
      <c r="R65" s="52">
        <f t="shared" si="156"/>
        <v>0</v>
      </c>
      <c r="S65" s="52">
        <f t="shared" si="156"/>
        <v>0</v>
      </c>
      <c r="T65" s="52">
        <f aca="true" t="shared" si="157" ref="T65:T80">S65-R65</f>
        <v>0</v>
      </c>
      <c r="U65" s="109">
        <f aca="true" t="shared" si="158" ref="U65:U76">IF(R65=0,0,T65/R65)</f>
        <v>0</v>
      </c>
      <c r="V65" s="52">
        <f aca="true" t="shared" si="159" ref="V65:AB65">V66+V67+V68+V69+V70</f>
        <v>0</v>
      </c>
      <c r="W65" s="52">
        <f t="shared" si="159"/>
        <v>0</v>
      </c>
      <c r="X65" s="52">
        <f t="shared" si="159"/>
        <v>0</v>
      </c>
      <c r="Y65" s="52">
        <f t="shared" si="159"/>
        <v>0</v>
      </c>
      <c r="Z65" s="52">
        <f t="shared" si="159"/>
        <v>0</v>
      </c>
      <c r="AA65" s="52">
        <f t="shared" si="159"/>
        <v>0</v>
      </c>
      <c r="AB65" s="52">
        <f t="shared" si="159"/>
        <v>0</v>
      </c>
      <c r="AC65" s="52">
        <f aca="true" t="shared" si="160" ref="AC65:AC80">AB65-AA65</f>
        <v>0</v>
      </c>
      <c r="AD65" s="109">
        <f aca="true" t="shared" si="161" ref="AD65:AD76">IF(AA65=0,0,AC65/AA65)</f>
        <v>0</v>
      </c>
      <c r="AE65" s="52">
        <f>AE66+AE67+AE68+AE69+AE70</f>
        <v>0</v>
      </c>
      <c r="AF65" s="52">
        <f>AF66+AF67+AF68+AF69+AF70</f>
        <v>0</v>
      </c>
      <c r="AG65" s="52">
        <f>AG66+AG67+AG68+AG69+AG70</f>
        <v>0</v>
      </c>
      <c r="AH65" s="52">
        <f>AH66+AH67+AH68+AH69+AH70</f>
        <v>0</v>
      </c>
      <c r="AI65" s="52">
        <f>AI66+AI67+AI68+AI69+AI70</f>
        <v>0</v>
      </c>
      <c r="AJ65" s="52">
        <v>0</v>
      </c>
      <c r="AK65" s="52">
        <f>AK66+AK67+AK68+AK69+AK70</f>
        <v>0</v>
      </c>
      <c r="AL65" s="52">
        <f aca="true" t="shared" si="162" ref="AL65:AL80">AK65-AJ65</f>
        <v>0</v>
      </c>
      <c r="AM65" s="109">
        <f aca="true" t="shared" si="163" ref="AM65:AM76">IF(AJ65=0,0,AL65/AJ65)</f>
        <v>0</v>
      </c>
      <c r="AN65" s="52">
        <f aca="true" t="shared" si="164" ref="AN65:AT65">AN66+AN67+AN68+AN69+AN70</f>
        <v>0</v>
      </c>
      <c r="AO65" s="52">
        <f t="shared" si="164"/>
        <v>0</v>
      </c>
      <c r="AP65" s="52">
        <f t="shared" si="164"/>
        <v>0</v>
      </c>
      <c r="AQ65" s="52">
        <f t="shared" si="164"/>
        <v>0</v>
      </c>
      <c r="AR65" s="52">
        <f t="shared" si="164"/>
        <v>0</v>
      </c>
      <c r="AS65" s="52">
        <f t="shared" si="164"/>
        <v>0</v>
      </c>
      <c r="AT65" s="52">
        <f t="shared" si="164"/>
        <v>0</v>
      </c>
      <c r="AU65" s="52">
        <f aca="true" t="shared" si="165" ref="AU65:AU80">AT65-AS65</f>
        <v>0</v>
      </c>
      <c r="AV65" s="109">
        <f aca="true" t="shared" si="166" ref="AV65:AV76">IF(AS65=0,0,AU65/AS65)</f>
        <v>0</v>
      </c>
      <c r="AW65" s="52">
        <f>AW66+AW67+AW68+AW69+AW70</f>
        <v>0</v>
      </c>
      <c r="AX65" s="52">
        <f>AX66+AX67+AX68+AX69+AX70</f>
        <v>0</v>
      </c>
      <c r="AY65" s="52">
        <f>AY66+AY67+AY68+AY69+AY70</f>
        <v>0</v>
      </c>
      <c r="AZ65" s="52">
        <f>AZ66+AZ67+AZ68+AZ69+AZ70</f>
        <v>0</v>
      </c>
      <c r="BA65" s="52"/>
      <c r="BB65" s="52">
        <f>BB66+BB67+BB68+BB69+BB70</f>
        <v>0</v>
      </c>
      <c r="BC65" s="52">
        <f aca="true" t="shared" si="167" ref="BC65:BC80">BB65-BA65</f>
        <v>0</v>
      </c>
      <c r="BD65" s="109">
        <f aca="true" t="shared" si="168" ref="BD65:BD76">IF(BA65=0,0,BC65/BA65)</f>
        <v>0</v>
      </c>
      <c r="BE65" s="52">
        <f aca="true" t="shared" si="169" ref="BE65:BJ65">BE66+BE67+BE68+BE69+BE70</f>
        <v>0</v>
      </c>
      <c r="BF65" s="52">
        <f t="shared" si="169"/>
        <v>0</v>
      </c>
      <c r="BG65" s="52">
        <f t="shared" si="169"/>
        <v>0</v>
      </c>
      <c r="BH65" s="52">
        <f t="shared" si="169"/>
        <v>0</v>
      </c>
      <c r="BI65" s="52">
        <f t="shared" si="169"/>
        <v>0</v>
      </c>
      <c r="BJ65" s="52">
        <f t="shared" si="169"/>
        <v>0</v>
      </c>
      <c r="BK65" s="52">
        <f aca="true" t="shared" si="170" ref="BK65:BK80">BJ65-BI65</f>
        <v>0</v>
      </c>
      <c r="BL65" s="109">
        <f aca="true" t="shared" si="171" ref="BL65:BL76">IF(BI65=0,0,BK65/BI65)</f>
        <v>0</v>
      </c>
      <c r="BM65" s="52">
        <f aca="true" t="shared" si="172" ref="BM65:BR65">BM66+BM67+BM68+BM69+BM70</f>
        <v>0</v>
      </c>
      <c r="BN65" s="52">
        <f t="shared" si="172"/>
        <v>0</v>
      </c>
      <c r="BO65" s="52">
        <f t="shared" si="172"/>
        <v>0</v>
      </c>
      <c r="BP65" s="52">
        <f t="shared" si="172"/>
        <v>0</v>
      </c>
      <c r="BQ65" s="52"/>
      <c r="BR65" s="52">
        <f t="shared" si="172"/>
        <v>0</v>
      </c>
      <c r="BS65" s="52">
        <f aca="true" t="shared" si="173" ref="BS65:BS80">BR65-BQ65</f>
        <v>0</v>
      </c>
      <c r="BT65" s="109">
        <f aca="true" t="shared" si="174" ref="BT65:BT76">IF(BQ65=0,0,BS65/BQ65)</f>
        <v>0</v>
      </c>
      <c r="BU65" s="52">
        <f aca="true" t="shared" si="175" ref="BU65:BZ65">BU66+BU67+BU68+BU69+BU70</f>
        <v>0</v>
      </c>
      <c r="BV65" s="52">
        <f t="shared" si="175"/>
        <v>0</v>
      </c>
      <c r="BW65" s="52">
        <f t="shared" si="175"/>
        <v>0</v>
      </c>
      <c r="BX65" s="52">
        <f t="shared" si="175"/>
        <v>0</v>
      </c>
      <c r="BY65" s="52">
        <f t="shared" si="175"/>
        <v>0</v>
      </c>
      <c r="BZ65" s="52">
        <f t="shared" si="175"/>
        <v>0</v>
      </c>
      <c r="CA65" s="52">
        <f aca="true" t="shared" si="176" ref="CA65:CA80">BZ65-BY65</f>
        <v>0</v>
      </c>
      <c r="CB65" s="109">
        <f aca="true" t="shared" si="177" ref="CB65:CB76">IF(BY65=0,0,CA65/BY65)</f>
        <v>0</v>
      </c>
      <c r="CC65" s="52">
        <f aca="true" t="shared" si="178" ref="CC65:CH65">CC66+CC67+CC68+CC69+CC70</f>
        <v>0</v>
      </c>
      <c r="CD65" s="52">
        <f t="shared" si="178"/>
        <v>0</v>
      </c>
      <c r="CE65" s="152">
        <f t="shared" si="178"/>
        <v>0</v>
      </c>
      <c r="CF65" s="152">
        <f t="shared" si="178"/>
        <v>0</v>
      </c>
      <c r="CG65" s="52">
        <f t="shared" si="178"/>
        <v>0</v>
      </c>
      <c r="CH65" s="152">
        <f t="shared" si="178"/>
        <v>0</v>
      </c>
      <c r="CI65" s="52">
        <f aca="true" t="shared" si="179" ref="CI65:CI80">CH65-CG65</f>
        <v>0</v>
      </c>
      <c r="CJ65" s="109">
        <f aca="true" t="shared" si="180" ref="CJ65:CJ76">IF(CG65=0,0,CI65/CG65)</f>
        <v>0</v>
      </c>
      <c r="CK65" s="52">
        <f aca="true" t="shared" si="181" ref="CK65:CP65">CK66+CK67+CK68+CK69+CK70</f>
        <v>0</v>
      </c>
      <c r="CL65" s="52">
        <f t="shared" si="181"/>
        <v>0</v>
      </c>
      <c r="CM65" s="52">
        <f t="shared" si="181"/>
        <v>0</v>
      </c>
      <c r="CN65" s="52">
        <f t="shared" si="181"/>
        <v>0</v>
      </c>
      <c r="CO65" s="52">
        <f t="shared" si="181"/>
        <v>0</v>
      </c>
      <c r="CP65" s="52">
        <f t="shared" si="181"/>
        <v>0</v>
      </c>
      <c r="CQ65" s="52">
        <f aca="true" t="shared" si="182" ref="CQ65:CQ80">CP65-CO65</f>
        <v>0</v>
      </c>
      <c r="CR65" s="109">
        <f aca="true" t="shared" si="183" ref="CR65:CR76">IF(CO65=0,0,CQ65/CO65)</f>
        <v>0</v>
      </c>
      <c r="CS65" s="52">
        <f aca="true" t="shared" si="184" ref="CS65:CX65">CS66+CS67+CS68+CS69+CS70</f>
        <v>0</v>
      </c>
      <c r="CT65" s="52">
        <f t="shared" si="184"/>
        <v>0</v>
      </c>
      <c r="CU65" s="52">
        <f t="shared" si="184"/>
        <v>0</v>
      </c>
      <c r="CV65" s="52">
        <f t="shared" si="184"/>
        <v>0</v>
      </c>
      <c r="CW65" s="52">
        <f t="shared" si="184"/>
        <v>0</v>
      </c>
      <c r="CX65" s="52">
        <f t="shared" si="184"/>
        <v>0</v>
      </c>
      <c r="CY65" s="52">
        <f aca="true" t="shared" si="185" ref="CY65:CY80">CX65-CW65</f>
        <v>0</v>
      </c>
      <c r="CZ65" s="109">
        <f aca="true" t="shared" si="186" ref="CZ65:CZ76">IF(CW65=0,0,CY65/CW65)</f>
        <v>0</v>
      </c>
      <c r="DA65" s="52">
        <v>0</v>
      </c>
      <c r="DB65" s="52">
        <f>DB66+DB67+DB68+DB69+DB70</f>
        <v>0</v>
      </c>
      <c r="DC65" s="52" t="e">
        <f>DC66+DC67+DC68+DC69+DC70</f>
        <v>#REF!</v>
      </c>
      <c r="DD65" s="52" t="e">
        <f aca="true" t="shared" si="187" ref="DD65:DD80">DC65-DB65</f>
        <v>#REF!</v>
      </c>
      <c r="DE65" s="113">
        <f aca="true" t="shared" si="188" ref="DE65:DE75">IF(DB65=0,0,DD65/DB65)</f>
        <v>0</v>
      </c>
      <c r="DF65" s="119"/>
    </row>
    <row r="66" spans="1:110" ht="15.75" hidden="1">
      <c r="A66" s="98" t="s">
        <v>95</v>
      </c>
      <c r="B66" s="12" t="s">
        <v>27</v>
      </c>
      <c r="C66" s="10" t="s">
        <v>56</v>
      </c>
      <c r="D66" s="32"/>
      <c r="E66" s="32"/>
      <c r="F66" s="32"/>
      <c r="G66" s="32"/>
      <c r="H66" s="32"/>
      <c r="I66" s="156"/>
      <c r="J66" s="32"/>
      <c r="K66" s="53">
        <f t="shared" si="0"/>
        <v>0</v>
      </c>
      <c r="L66" s="110">
        <f t="shared" si="38"/>
        <v>0</v>
      </c>
      <c r="M66" s="32"/>
      <c r="N66" s="32"/>
      <c r="O66" s="32"/>
      <c r="P66" s="32"/>
      <c r="Q66" s="32"/>
      <c r="R66" s="156"/>
      <c r="S66" s="32"/>
      <c r="T66" s="53">
        <f t="shared" si="157"/>
        <v>0</v>
      </c>
      <c r="U66" s="110">
        <f t="shared" si="158"/>
        <v>0</v>
      </c>
      <c r="V66" s="32"/>
      <c r="W66" s="32"/>
      <c r="X66" s="32"/>
      <c r="Y66" s="32"/>
      <c r="Z66" s="32"/>
      <c r="AA66" s="156"/>
      <c r="AB66" s="32"/>
      <c r="AC66" s="53">
        <f t="shared" si="160"/>
        <v>0</v>
      </c>
      <c r="AD66" s="110">
        <f t="shared" si="161"/>
        <v>0</v>
      </c>
      <c r="AE66" s="32"/>
      <c r="AF66" s="32"/>
      <c r="AG66" s="32"/>
      <c r="AH66" s="32"/>
      <c r="AI66" s="32"/>
      <c r="AJ66" s="156"/>
      <c r="AK66" s="32"/>
      <c r="AL66" s="53">
        <f t="shared" si="162"/>
        <v>0</v>
      </c>
      <c r="AM66" s="110">
        <f t="shared" si="163"/>
        <v>0</v>
      </c>
      <c r="AN66" s="32"/>
      <c r="AO66" s="32"/>
      <c r="AP66" s="32"/>
      <c r="AQ66" s="32"/>
      <c r="AR66" s="32"/>
      <c r="AS66" s="156"/>
      <c r="AT66" s="32"/>
      <c r="AU66" s="53">
        <f t="shared" si="165"/>
        <v>0</v>
      </c>
      <c r="AV66" s="110">
        <f t="shared" si="166"/>
        <v>0</v>
      </c>
      <c r="AW66" s="32"/>
      <c r="AX66" s="32"/>
      <c r="AY66" s="32"/>
      <c r="AZ66" s="32"/>
      <c r="BA66" s="32"/>
      <c r="BB66" s="32"/>
      <c r="BC66" s="53">
        <f t="shared" si="167"/>
        <v>0</v>
      </c>
      <c r="BD66" s="110">
        <f t="shared" si="168"/>
        <v>0</v>
      </c>
      <c r="BE66" s="32"/>
      <c r="BF66" s="32"/>
      <c r="BG66" s="32"/>
      <c r="BH66" s="32"/>
      <c r="BI66" s="156"/>
      <c r="BJ66" s="156"/>
      <c r="BK66" s="53">
        <f t="shared" si="170"/>
        <v>0</v>
      </c>
      <c r="BL66" s="110">
        <f t="shared" si="171"/>
        <v>0</v>
      </c>
      <c r="BM66" s="32"/>
      <c r="BN66" s="32"/>
      <c r="BO66" s="32"/>
      <c r="BP66" s="32"/>
      <c r="BQ66" s="156"/>
      <c r="BR66" s="156"/>
      <c r="BS66" s="53">
        <f t="shared" si="173"/>
        <v>0</v>
      </c>
      <c r="BT66" s="110">
        <f t="shared" si="174"/>
        <v>0</v>
      </c>
      <c r="BU66" s="32"/>
      <c r="BV66" s="32"/>
      <c r="BW66" s="32"/>
      <c r="BX66" s="32"/>
      <c r="BY66" s="156"/>
      <c r="BZ66" s="32"/>
      <c r="CA66" s="53">
        <f t="shared" si="176"/>
        <v>0</v>
      </c>
      <c r="CB66" s="110">
        <f t="shared" si="177"/>
        <v>0</v>
      </c>
      <c r="CC66" s="32"/>
      <c r="CD66" s="32"/>
      <c r="CE66" s="178"/>
      <c r="CF66" s="178"/>
      <c r="CG66" s="156"/>
      <c r="CH66" s="178"/>
      <c r="CI66" s="53">
        <f t="shared" si="179"/>
        <v>0</v>
      </c>
      <c r="CJ66" s="110">
        <f t="shared" si="180"/>
        <v>0</v>
      </c>
      <c r="CK66" s="32"/>
      <c r="CL66" s="32"/>
      <c r="CM66" s="32"/>
      <c r="CN66" s="32"/>
      <c r="CO66" s="156"/>
      <c r="CP66" s="32"/>
      <c r="CQ66" s="53">
        <f t="shared" si="182"/>
        <v>0</v>
      </c>
      <c r="CR66" s="110">
        <f t="shared" si="183"/>
        <v>0</v>
      </c>
      <c r="CS66" s="32"/>
      <c r="CT66" s="32"/>
      <c r="CU66" s="32"/>
      <c r="CV66" s="32"/>
      <c r="CW66" s="156"/>
      <c r="CX66" s="32"/>
      <c r="CY66" s="53">
        <f t="shared" si="185"/>
        <v>0</v>
      </c>
      <c r="CZ66" s="110">
        <f t="shared" si="186"/>
        <v>0</v>
      </c>
      <c r="DA66" s="142">
        <v>0</v>
      </c>
      <c r="DB66" s="84">
        <f>I66+R66+AA66+AJ66+AS66+BA66+BI66+BQ66+BY66+CG66+CO66+CW66</f>
        <v>0</v>
      </c>
      <c r="DC66" s="106" t="e">
        <f>IF(#REF!&gt;=1,J66,I66)+IF(#REF!&gt;=2,S66,R66)+IF(#REF!&gt;=3,AB66,AA66)+IF(#REF!&gt;=4,AK66,AJ66)+IF(#REF!&gt;=5,AT66,AS66)+IF(#REF!&gt;=6,BB66,BA66)+IF(#REF!&gt;=7,BJ66,BI66)+IF(#REF!&gt;=8,BR66,BQ66)+IF(#REF!&gt;=9,BZ66,BY66)+IF(#REF!&gt;=10,CH66,CG66)+IF(#REF!&gt;=11,CP66,CO66)+IF(#REF!&gt;=12,CX66,CW66)</f>
        <v>#REF!</v>
      </c>
      <c r="DD66" s="53" t="e">
        <f t="shared" si="187"/>
        <v>#REF!</v>
      </c>
      <c r="DE66" s="114">
        <f t="shared" si="188"/>
        <v>0</v>
      </c>
      <c r="DF66" s="119"/>
    </row>
    <row r="67" spans="1:110" ht="15.75" hidden="1">
      <c r="A67" s="98" t="s">
        <v>96</v>
      </c>
      <c r="B67" s="12" t="s">
        <v>83</v>
      </c>
      <c r="C67" s="10" t="s">
        <v>56</v>
      </c>
      <c r="D67" s="33"/>
      <c r="E67" s="33"/>
      <c r="F67" s="33"/>
      <c r="G67" s="154"/>
      <c r="H67" s="33"/>
      <c r="I67" s="157"/>
      <c r="J67" s="33"/>
      <c r="K67" s="53">
        <f t="shared" si="0"/>
        <v>0</v>
      </c>
      <c r="L67" s="110">
        <f t="shared" si="38"/>
        <v>0</v>
      </c>
      <c r="M67" s="33"/>
      <c r="N67" s="33"/>
      <c r="O67" s="33"/>
      <c r="P67" s="33"/>
      <c r="Q67" s="33"/>
      <c r="R67" s="157"/>
      <c r="S67" s="33"/>
      <c r="T67" s="53">
        <f t="shared" si="157"/>
        <v>0</v>
      </c>
      <c r="U67" s="110">
        <f t="shared" si="158"/>
        <v>0</v>
      </c>
      <c r="V67" s="33"/>
      <c r="W67" s="33"/>
      <c r="X67" s="33"/>
      <c r="Y67" s="33"/>
      <c r="Z67" s="33"/>
      <c r="AA67" s="157"/>
      <c r="AB67" s="33"/>
      <c r="AC67" s="53">
        <f t="shared" si="160"/>
        <v>0</v>
      </c>
      <c r="AD67" s="110">
        <f t="shared" si="161"/>
        <v>0</v>
      </c>
      <c r="AE67" s="33"/>
      <c r="AF67" s="33"/>
      <c r="AG67" s="33"/>
      <c r="AH67" s="33"/>
      <c r="AI67" s="33"/>
      <c r="AJ67" s="157"/>
      <c r="AK67" s="33"/>
      <c r="AL67" s="53">
        <f t="shared" si="162"/>
        <v>0</v>
      </c>
      <c r="AM67" s="110">
        <f t="shared" si="163"/>
        <v>0</v>
      </c>
      <c r="AN67" s="33"/>
      <c r="AO67" s="33"/>
      <c r="AP67" s="33"/>
      <c r="AQ67" s="33"/>
      <c r="AR67" s="33"/>
      <c r="AS67" s="157"/>
      <c r="AT67" s="33"/>
      <c r="AU67" s="53">
        <f t="shared" si="165"/>
        <v>0</v>
      </c>
      <c r="AV67" s="110">
        <f t="shared" si="166"/>
        <v>0</v>
      </c>
      <c r="AW67" s="33"/>
      <c r="AX67" s="33"/>
      <c r="AY67" s="33"/>
      <c r="AZ67" s="33"/>
      <c r="BA67" s="33"/>
      <c r="BB67" s="33"/>
      <c r="BC67" s="53">
        <f t="shared" si="167"/>
        <v>0</v>
      </c>
      <c r="BD67" s="110">
        <f t="shared" si="168"/>
        <v>0</v>
      </c>
      <c r="BE67" s="33"/>
      <c r="BF67" s="33"/>
      <c r="BG67" s="154"/>
      <c r="BH67" s="154"/>
      <c r="BI67" s="157"/>
      <c r="BJ67" s="196"/>
      <c r="BK67" s="53">
        <f t="shared" si="170"/>
        <v>0</v>
      </c>
      <c r="BL67" s="110">
        <f t="shared" si="171"/>
        <v>0</v>
      </c>
      <c r="BM67" s="33"/>
      <c r="BN67" s="33"/>
      <c r="BO67" s="33"/>
      <c r="BP67" s="33"/>
      <c r="BQ67" s="157"/>
      <c r="BR67" s="196"/>
      <c r="BS67" s="53">
        <f t="shared" si="173"/>
        <v>0</v>
      </c>
      <c r="BT67" s="110">
        <f t="shared" si="174"/>
        <v>0</v>
      </c>
      <c r="BU67" s="33"/>
      <c r="BV67" s="33"/>
      <c r="BW67" s="33"/>
      <c r="BX67" s="33"/>
      <c r="BY67" s="157"/>
      <c r="BZ67" s="33"/>
      <c r="CA67" s="53">
        <f t="shared" si="176"/>
        <v>0</v>
      </c>
      <c r="CB67" s="110">
        <f t="shared" si="177"/>
        <v>0</v>
      </c>
      <c r="CC67" s="33"/>
      <c r="CD67" s="33"/>
      <c r="CE67" s="179"/>
      <c r="CF67" s="179"/>
      <c r="CG67" s="157"/>
      <c r="CH67" s="179"/>
      <c r="CI67" s="53">
        <f t="shared" si="179"/>
        <v>0</v>
      </c>
      <c r="CJ67" s="110">
        <f t="shared" si="180"/>
        <v>0</v>
      </c>
      <c r="CK67" s="33"/>
      <c r="CL67" s="33"/>
      <c r="CM67" s="33"/>
      <c r="CN67" s="33"/>
      <c r="CO67" s="157"/>
      <c r="CP67" s="33"/>
      <c r="CQ67" s="53">
        <f t="shared" si="182"/>
        <v>0</v>
      </c>
      <c r="CR67" s="110">
        <f t="shared" si="183"/>
        <v>0</v>
      </c>
      <c r="CS67" s="33"/>
      <c r="CT67" s="33"/>
      <c r="CU67" s="33"/>
      <c r="CV67" s="33"/>
      <c r="CW67" s="157"/>
      <c r="CX67" s="33"/>
      <c r="CY67" s="53">
        <f t="shared" si="185"/>
        <v>0</v>
      </c>
      <c r="CZ67" s="110">
        <f t="shared" si="186"/>
        <v>0</v>
      </c>
      <c r="DA67" s="142">
        <v>0</v>
      </c>
      <c r="DB67" s="84">
        <f>I67+R67+AA67+AJ67+AS67+BA67+BI67+BQ67+BY67+CG67+CO67+CW67</f>
        <v>0</v>
      </c>
      <c r="DC67" s="106" t="e">
        <f>IF(#REF!&gt;=1,J67,I67)+IF(#REF!&gt;=2,S67,R67)+IF(#REF!&gt;=3,AB67,AA67)+IF(#REF!&gt;=4,AK67,AJ67)+IF(#REF!&gt;=5,AT67,AS67)+IF(#REF!&gt;=6,BB67,BA67)+IF(#REF!&gt;=7,BJ67,BI67)+IF(#REF!&gt;=8,BR67,BQ67)+IF(#REF!&gt;=9,BZ67,BY67)+IF(#REF!&gt;=10,CH67,CG67)+IF(#REF!&gt;=11,CP67,CO67)+IF(#REF!&gt;=12,CX67,CW67)</f>
        <v>#REF!</v>
      </c>
      <c r="DD67" s="53" t="e">
        <f t="shared" si="187"/>
        <v>#REF!</v>
      </c>
      <c r="DE67" s="114">
        <f t="shared" si="188"/>
        <v>0</v>
      </c>
      <c r="DF67" s="119"/>
    </row>
    <row r="68" spans="1:110" ht="15.75" hidden="1">
      <c r="A68" s="98" t="s">
        <v>97</v>
      </c>
      <c r="B68" s="12" t="s">
        <v>31</v>
      </c>
      <c r="C68" s="10" t="s">
        <v>56</v>
      </c>
      <c r="D68" s="33"/>
      <c r="E68" s="33"/>
      <c r="F68" s="33"/>
      <c r="G68" s="154"/>
      <c r="H68" s="33"/>
      <c r="I68" s="157"/>
      <c r="J68" s="33"/>
      <c r="K68" s="53">
        <f t="shared" si="0"/>
        <v>0</v>
      </c>
      <c r="L68" s="110">
        <f t="shared" si="38"/>
        <v>0</v>
      </c>
      <c r="M68" s="33"/>
      <c r="N68" s="33"/>
      <c r="O68" s="33"/>
      <c r="P68" s="33"/>
      <c r="Q68" s="33"/>
      <c r="R68" s="157"/>
      <c r="S68" s="33"/>
      <c r="T68" s="53">
        <f t="shared" si="157"/>
        <v>0</v>
      </c>
      <c r="U68" s="110">
        <f t="shared" si="158"/>
        <v>0</v>
      </c>
      <c r="V68" s="33"/>
      <c r="W68" s="33"/>
      <c r="X68" s="33"/>
      <c r="Y68" s="33"/>
      <c r="Z68" s="33"/>
      <c r="AA68" s="157"/>
      <c r="AB68" s="33"/>
      <c r="AC68" s="53">
        <f t="shared" si="160"/>
        <v>0</v>
      </c>
      <c r="AD68" s="110">
        <f t="shared" si="161"/>
        <v>0</v>
      </c>
      <c r="AE68" s="33"/>
      <c r="AF68" s="33"/>
      <c r="AG68" s="33"/>
      <c r="AH68" s="33"/>
      <c r="AI68" s="33"/>
      <c r="AJ68" s="157"/>
      <c r="AK68" s="33"/>
      <c r="AL68" s="53">
        <f t="shared" si="162"/>
        <v>0</v>
      </c>
      <c r="AM68" s="110">
        <f t="shared" si="163"/>
        <v>0</v>
      </c>
      <c r="AN68" s="33"/>
      <c r="AO68" s="33"/>
      <c r="AP68" s="33"/>
      <c r="AQ68" s="33"/>
      <c r="AR68" s="33"/>
      <c r="AS68" s="157"/>
      <c r="AT68" s="33"/>
      <c r="AU68" s="53">
        <f t="shared" si="165"/>
        <v>0</v>
      </c>
      <c r="AV68" s="110">
        <f t="shared" si="166"/>
        <v>0</v>
      </c>
      <c r="AW68" s="33"/>
      <c r="AX68" s="33"/>
      <c r="AY68" s="33"/>
      <c r="AZ68" s="33"/>
      <c r="BA68" s="33"/>
      <c r="BB68" s="33"/>
      <c r="BC68" s="53">
        <f t="shared" si="167"/>
        <v>0</v>
      </c>
      <c r="BD68" s="110">
        <f t="shared" si="168"/>
        <v>0</v>
      </c>
      <c r="BE68" s="33"/>
      <c r="BF68" s="33"/>
      <c r="BG68" s="154"/>
      <c r="BH68" s="154"/>
      <c r="BI68" s="157"/>
      <c r="BJ68" s="196"/>
      <c r="BK68" s="53">
        <f t="shared" si="170"/>
        <v>0</v>
      </c>
      <c r="BL68" s="110">
        <f t="shared" si="171"/>
        <v>0</v>
      </c>
      <c r="BM68" s="33"/>
      <c r="BN68" s="33"/>
      <c r="BO68" s="33"/>
      <c r="BP68" s="33"/>
      <c r="BQ68" s="157"/>
      <c r="BR68" s="196"/>
      <c r="BS68" s="53">
        <f t="shared" si="173"/>
        <v>0</v>
      </c>
      <c r="BT68" s="110">
        <f t="shared" si="174"/>
        <v>0</v>
      </c>
      <c r="BU68" s="33"/>
      <c r="BV68" s="33"/>
      <c r="BW68" s="33"/>
      <c r="BX68" s="33"/>
      <c r="BY68" s="157"/>
      <c r="BZ68" s="33"/>
      <c r="CA68" s="53">
        <f t="shared" si="176"/>
        <v>0</v>
      </c>
      <c r="CB68" s="110">
        <f t="shared" si="177"/>
        <v>0</v>
      </c>
      <c r="CC68" s="33"/>
      <c r="CD68" s="33"/>
      <c r="CE68" s="179"/>
      <c r="CF68" s="179"/>
      <c r="CG68" s="157"/>
      <c r="CH68" s="179"/>
      <c r="CI68" s="53">
        <f t="shared" si="179"/>
        <v>0</v>
      </c>
      <c r="CJ68" s="110">
        <f t="shared" si="180"/>
        <v>0</v>
      </c>
      <c r="CK68" s="33"/>
      <c r="CL68" s="33"/>
      <c r="CM68" s="33"/>
      <c r="CN68" s="33"/>
      <c r="CO68" s="157"/>
      <c r="CP68" s="33"/>
      <c r="CQ68" s="53">
        <f t="shared" si="182"/>
        <v>0</v>
      </c>
      <c r="CR68" s="110">
        <f t="shared" si="183"/>
        <v>0</v>
      </c>
      <c r="CS68" s="33"/>
      <c r="CT68" s="33"/>
      <c r="CU68" s="33"/>
      <c r="CV68" s="33"/>
      <c r="CW68" s="157"/>
      <c r="CX68" s="33"/>
      <c r="CY68" s="53">
        <f t="shared" si="185"/>
        <v>0</v>
      </c>
      <c r="CZ68" s="110">
        <f t="shared" si="186"/>
        <v>0</v>
      </c>
      <c r="DA68" s="142">
        <v>0</v>
      </c>
      <c r="DB68" s="84">
        <f>I68+R68+AA68+AJ68+AS68+BA68+BI68+BQ68+BY68+CG68+CO68+CW68</f>
        <v>0</v>
      </c>
      <c r="DC68" s="106" t="e">
        <f>IF(#REF!&gt;=1,J68,I68)+IF(#REF!&gt;=2,S68,R68)+IF(#REF!&gt;=3,AB68,AA68)+IF(#REF!&gt;=4,AK68,AJ68)+IF(#REF!&gt;=5,AT68,AS68)+IF(#REF!&gt;=6,BB68,BA68)+IF(#REF!&gt;=7,BJ68,BI68)+IF(#REF!&gt;=8,BR68,BQ68)+IF(#REF!&gt;=9,BZ68,BY68)+IF(#REF!&gt;=10,CH68,CG68)+IF(#REF!&gt;=11,CP68,CO68)+IF(#REF!&gt;=12,CX68,CW68)</f>
        <v>#REF!</v>
      </c>
      <c r="DD68" s="53" t="e">
        <f t="shared" si="187"/>
        <v>#REF!</v>
      </c>
      <c r="DE68" s="114">
        <f t="shared" si="188"/>
        <v>0</v>
      </c>
      <c r="DF68" s="119"/>
    </row>
    <row r="69" spans="1:110" ht="15.75" hidden="1">
      <c r="A69" s="98" t="s">
        <v>98</v>
      </c>
      <c r="B69" s="12" t="s">
        <v>33</v>
      </c>
      <c r="C69" s="10" t="s">
        <v>56</v>
      </c>
      <c r="D69" s="17"/>
      <c r="E69" s="17"/>
      <c r="F69" s="17"/>
      <c r="G69" s="17"/>
      <c r="H69" s="17"/>
      <c r="I69" s="17"/>
      <c r="J69" s="17"/>
      <c r="K69" s="52">
        <f t="shared" si="0"/>
        <v>0</v>
      </c>
      <c r="L69" s="109">
        <f t="shared" si="38"/>
        <v>0</v>
      </c>
      <c r="M69" s="17"/>
      <c r="N69" s="17"/>
      <c r="O69" s="17"/>
      <c r="P69" s="17"/>
      <c r="Q69" s="17"/>
      <c r="R69" s="17"/>
      <c r="S69" s="17"/>
      <c r="T69" s="52">
        <f t="shared" si="157"/>
        <v>0</v>
      </c>
      <c r="U69" s="109">
        <f t="shared" si="158"/>
        <v>0</v>
      </c>
      <c r="V69" s="17"/>
      <c r="W69" s="17"/>
      <c r="X69" s="17"/>
      <c r="Y69" s="17"/>
      <c r="Z69" s="17"/>
      <c r="AA69" s="17"/>
      <c r="AB69" s="17"/>
      <c r="AC69" s="52">
        <f t="shared" si="160"/>
        <v>0</v>
      </c>
      <c r="AD69" s="109">
        <f t="shared" si="161"/>
        <v>0</v>
      </c>
      <c r="AE69" s="17"/>
      <c r="AF69" s="17"/>
      <c r="AG69" s="17"/>
      <c r="AH69" s="17"/>
      <c r="AI69" s="17"/>
      <c r="AJ69" s="17"/>
      <c r="AK69" s="17"/>
      <c r="AL69" s="52">
        <f t="shared" si="162"/>
        <v>0</v>
      </c>
      <c r="AM69" s="109">
        <f t="shared" si="163"/>
        <v>0</v>
      </c>
      <c r="AN69" s="17"/>
      <c r="AO69" s="17"/>
      <c r="AP69" s="17"/>
      <c r="AQ69" s="17"/>
      <c r="AR69" s="17"/>
      <c r="AS69" s="17"/>
      <c r="AT69" s="17"/>
      <c r="AU69" s="52">
        <f t="shared" si="165"/>
        <v>0</v>
      </c>
      <c r="AV69" s="109">
        <f t="shared" si="166"/>
        <v>0</v>
      </c>
      <c r="AW69" s="17"/>
      <c r="AX69" s="17"/>
      <c r="AY69" s="17"/>
      <c r="AZ69" s="17"/>
      <c r="BA69" s="17"/>
      <c r="BB69" s="17"/>
      <c r="BC69" s="52">
        <f t="shared" si="167"/>
        <v>0</v>
      </c>
      <c r="BD69" s="109">
        <f t="shared" si="168"/>
        <v>0</v>
      </c>
      <c r="BE69" s="17"/>
      <c r="BF69" s="17"/>
      <c r="BG69" s="17"/>
      <c r="BH69" s="17"/>
      <c r="BI69" s="17"/>
      <c r="BJ69" s="17"/>
      <c r="BK69" s="52">
        <f t="shared" si="170"/>
        <v>0</v>
      </c>
      <c r="BL69" s="109">
        <f t="shared" si="171"/>
        <v>0</v>
      </c>
      <c r="BM69" s="17"/>
      <c r="BN69" s="17"/>
      <c r="BO69" s="17"/>
      <c r="BP69" s="17"/>
      <c r="BQ69" s="17"/>
      <c r="BR69" s="17"/>
      <c r="BS69" s="52">
        <f t="shared" si="173"/>
        <v>0</v>
      </c>
      <c r="BT69" s="109">
        <f t="shared" si="174"/>
        <v>0</v>
      </c>
      <c r="BU69" s="17"/>
      <c r="BV69" s="17"/>
      <c r="BW69" s="17"/>
      <c r="BX69" s="17"/>
      <c r="BY69" s="17"/>
      <c r="BZ69" s="17"/>
      <c r="CA69" s="52">
        <f t="shared" si="176"/>
        <v>0</v>
      </c>
      <c r="CB69" s="109">
        <f t="shared" si="177"/>
        <v>0</v>
      </c>
      <c r="CC69" s="17"/>
      <c r="CD69" s="17"/>
      <c r="CE69" s="141"/>
      <c r="CF69" s="141"/>
      <c r="CG69" s="17"/>
      <c r="CH69" s="141"/>
      <c r="CI69" s="52">
        <f t="shared" si="179"/>
        <v>0</v>
      </c>
      <c r="CJ69" s="109">
        <f t="shared" si="180"/>
        <v>0</v>
      </c>
      <c r="CK69" s="17"/>
      <c r="CL69" s="17"/>
      <c r="CM69" s="17"/>
      <c r="CN69" s="17"/>
      <c r="CO69" s="17"/>
      <c r="CP69" s="17"/>
      <c r="CQ69" s="52">
        <f t="shared" si="182"/>
        <v>0</v>
      </c>
      <c r="CR69" s="109">
        <f t="shared" si="183"/>
        <v>0</v>
      </c>
      <c r="CS69" s="17"/>
      <c r="CT69" s="17"/>
      <c r="CU69" s="17"/>
      <c r="CV69" s="17"/>
      <c r="CW69" s="17"/>
      <c r="CX69" s="17"/>
      <c r="CY69" s="52">
        <f t="shared" si="185"/>
        <v>0</v>
      </c>
      <c r="CZ69" s="109">
        <f t="shared" si="186"/>
        <v>0</v>
      </c>
      <c r="DA69" s="142">
        <v>0</v>
      </c>
      <c r="DB69" s="84">
        <f>I69+R69+AA69+AJ69+AS69+BA69+BI69+BQ69+BY69+CG69+CO69+CW69</f>
        <v>0</v>
      </c>
      <c r="DC69" s="106" t="e">
        <f>IF(#REF!&gt;=1,J69,I69)+IF(#REF!&gt;=2,S69,R69)+IF(#REF!&gt;=3,AB69,AA69)+IF(#REF!&gt;=4,AK69,AJ69)+IF(#REF!&gt;=5,AT69,AS69)+IF(#REF!&gt;=6,BB69,BA69)+IF(#REF!&gt;=7,BJ69,BI69)+IF(#REF!&gt;=8,BR69,BQ69)+IF(#REF!&gt;=9,BZ69,BY69)+IF(#REF!&gt;=10,CH69,CG69)+IF(#REF!&gt;=11,CP69,CO69)+IF(#REF!&gt;=12,CX69,CW69)</f>
        <v>#REF!</v>
      </c>
      <c r="DD69" s="52" t="e">
        <f t="shared" si="187"/>
        <v>#REF!</v>
      </c>
      <c r="DE69" s="113">
        <f t="shared" si="188"/>
        <v>0</v>
      </c>
      <c r="DF69" s="119"/>
    </row>
    <row r="70" spans="1:110" ht="15.75" hidden="1">
      <c r="A70" s="98" t="s">
        <v>99</v>
      </c>
      <c r="B70" s="12" t="s">
        <v>257</v>
      </c>
      <c r="C70" s="10" t="s">
        <v>56</v>
      </c>
      <c r="D70" s="17"/>
      <c r="E70" s="17"/>
      <c r="F70" s="17"/>
      <c r="G70" s="17"/>
      <c r="H70" s="17"/>
      <c r="I70" s="17"/>
      <c r="J70" s="17"/>
      <c r="K70" s="52">
        <f>J70-I70</f>
        <v>0</v>
      </c>
      <c r="L70" s="109">
        <f>IF(I70=0,0,K70/I70)</f>
        <v>0</v>
      </c>
      <c r="M70" s="17"/>
      <c r="N70" s="17"/>
      <c r="O70" s="17"/>
      <c r="P70" s="17"/>
      <c r="Q70" s="17"/>
      <c r="R70" s="17"/>
      <c r="S70" s="17"/>
      <c r="T70" s="52">
        <f t="shared" si="157"/>
        <v>0</v>
      </c>
      <c r="U70" s="109">
        <f t="shared" si="158"/>
        <v>0</v>
      </c>
      <c r="V70" s="17"/>
      <c r="W70" s="17"/>
      <c r="X70" s="17"/>
      <c r="Y70" s="17"/>
      <c r="Z70" s="17"/>
      <c r="AA70" s="17"/>
      <c r="AB70" s="17"/>
      <c r="AC70" s="52">
        <f t="shared" si="160"/>
        <v>0</v>
      </c>
      <c r="AD70" s="109">
        <f t="shared" si="161"/>
        <v>0</v>
      </c>
      <c r="AE70" s="17"/>
      <c r="AF70" s="17"/>
      <c r="AG70" s="17"/>
      <c r="AH70" s="17"/>
      <c r="AI70" s="17"/>
      <c r="AJ70" s="17"/>
      <c r="AK70" s="17"/>
      <c r="AL70" s="52">
        <f t="shared" si="162"/>
        <v>0</v>
      </c>
      <c r="AM70" s="109">
        <f t="shared" si="163"/>
        <v>0</v>
      </c>
      <c r="AN70" s="17"/>
      <c r="AO70" s="17"/>
      <c r="AP70" s="17"/>
      <c r="AQ70" s="17"/>
      <c r="AR70" s="17"/>
      <c r="AS70" s="17"/>
      <c r="AT70" s="17"/>
      <c r="AU70" s="52">
        <f t="shared" si="165"/>
        <v>0</v>
      </c>
      <c r="AV70" s="109">
        <f t="shared" si="166"/>
        <v>0</v>
      </c>
      <c r="AW70" s="17"/>
      <c r="AX70" s="17"/>
      <c r="AY70" s="17"/>
      <c r="AZ70" s="17"/>
      <c r="BA70" s="17"/>
      <c r="BB70" s="17"/>
      <c r="BC70" s="52">
        <f t="shared" si="167"/>
        <v>0</v>
      </c>
      <c r="BD70" s="109">
        <f t="shared" si="168"/>
        <v>0</v>
      </c>
      <c r="BE70" s="17"/>
      <c r="BF70" s="17"/>
      <c r="BG70" s="17"/>
      <c r="BH70" s="17"/>
      <c r="BI70" s="17"/>
      <c r="BJ70" s="17"/>
      <c r="BK70" s="52">
        <f t="shared" si="170"/>
        <v>0</v>
      </c>
      <c r="BL70" s="109">
        <f t="shared" si="171"/>
        <v>0</v>
      </c>
      <c r="BM70" s="17"/>
      <c r="BN70" s="17"/>
      <c r="BO70" s="17"/>
      <c r="BP70" s="17"/>
      <c r="BQ70" s="17"/>
      <c r="BR70" s="17"/>
      <c r="BS70" s="52">
        <f t="shared" si="173"/>
        <v>0</v>
      </c>
      <c r="BT70" s="109">
        <f t="shared" si="174"/>
        <v>0</v>
      </c>
      <c r="BU70" s="17"/>
      <c r="BV70" s="17"/>
      <c r="BW70" s="17"/>
      <c r="BX70" s="17"/>
      <c r="BY70" s="17"/>
      <c r="BZ70" s="17"/>
      <c r="CA70" s="52">
        <f t="shared" si="176"/>
        <v>0</v>
      </c>
      <c r="CB70" s="109">
        <f t="shared" si="177"/>
        <v>0</v>
      </c>
      <c r="CC70" s="17"/>
      <c r="CD70" s="17"/>
      <c r="CE70" s="141"/>
      <c r="CF70" s="141"/>
      <c r="CG70" s="17"/>
      <c r="CH70" s="141"/>
      <c r="CI70" s="52">
        <f t="shared" si="179"/>
        <v>0</v>
      </c>
      <c r="CJ70" s="109">
        <f t="shared" si="180"/>
        <v>0</v>
      </c>
      <c r="CK70" s="17"/>
      <c r="CL70" s="17"/>
      <c r="CM70" s="17"/>
      <c r="CN70" s="17"/>
      <c r="CO70" s="17"/>
      <c r="CP70" s="17"/>
      <c r="CQ70" s="52">
        <f t="shared" si="182"/>
        <v>0</v>
      </c>
      <c r="CR70" s="109">
        <f t="shared" si="183"/>
        <v>0</v>
      </c>
      <c r="CS70" s="17"/>
      <c r="CT70" s="17"/>
      <c r="CU70" s="17"/>
      <c r="CV70" s="17"/>
      <c r="CW70" s="17"/>
      <c r="CX70" s="17"/>
      <c r="CY70" s="52">
        <f t="shared" si="185"/>
        <v>0</v>
      </c>
      <c r="CZ70" s="109">
        <f t="shared" si="186"/>
        <v>0</v>
      </c>
      <c r="DA70" s="142">
        <v>0</v>
      </c>
      <c r="DB70" s="84">
        <f>I70+R70+AA70+AJ70+AS70+BA70+BI70+BQ70+BY70+CG70+CO70+CW70</f>
        <v>0</v>
      </c>
      <c r="DC70" s="106" t="e">
        <f>IF(#REF!&gt;=1,J70,I70)+IF(#REF!&gt;=2,S70,R70)+IF(#REF!&gt;=3,AB70,AA70)+IF(#REF!&gt;=4,AK70,AJ70)+IF(#REF!&gt;=5,AT70,AS70)+IF(#REF!&gt;=6,BB70,BA70)+IF(#REF!&gt;=7,BJ70,BI70)+IF(#REF!&gt;=8,BR70,BQ70)+IF(#REF!&gt;=9,BZ70,BY70)+IF(#REF!&gt;=10,CH70,CG70)+IF(#REF!&gt;=11,CP70,CO70)+IF(#REF!&gt;=12,CX70,CW70)</f>
        <v>#REF!</v>
      </c>
      <c r="DD70" s="52" t="e">
        <f>DC70-DB70</f>
        <v>#REF!</v>
      </c>
      <c r="DE70" s="113">
        <f>IF(DB70=0,0,DD70/DB70)</f>
        <v>0</v>
      </c>
      <c r="DF70" s="119"/>
    </row>
    <row r="71" spans="1:110" ht="31.5" hidden="1">
      <c r="A71" s="98" t="s">
        <v>99</v>
      </c>
      <c r="B71" s="30" t="s">
        <v>100</v>
      </c>
      <c r="C71" s="10" t="s">
        <v>56</v>
      </c>
      <c r="D71" s="52">
        <f aca="true" t="shared" si="189" ref="D71:J71">D72+D73+D74+D75+D76</f>
        <v>0</v>
      </c>
      <c r="E71" s="52">
        <f t="shared" si="189"/>
        <v>0</v>
      </c>
      <c r="F71" s="52">
        <f t="shared" si="189"/>
        <v>0</v>
      </c>
      <c r="G71" s="52">
        <f t="shared" si="189"/>
        <v>0</v>
      </c>
      <c r="H71" s="52">
        <f t="shared" si="189"/>
        <v>0</v>
      </c>
      <c r="I71" s="52">
        <f t="shared" si="189"/>
        <v>0</v>
      </c>
      <c r="J71" s="52">
        <f t="shared" si="189"/>
        <v>0</v>
      </c>
      <c r="K71" s="52">
        <f t="shared" si="0"/>
        <v>0</v>
      </c>
      <c r="L71" s="109">
        <f t="shared" si="38"/>
        <v>0</v>
      </c>
      <c r="M71" s="52">
        <f aca="true" t="shared" si="190" ref="M71:S71">M72+M73+M74+M75+M76</f>
        <v>0</v>
      </c>
      <c r="N71" s="52">
        <f t="shared" si="190"/>
        <v>0</v>
      </c>
      <c r="O71" s="52">
        <f t="shared" si="190"/>
        <v>0</v>
      </c>
      <c r="P71" s="52">
        <f t="shared" si="190"/>
        <v>0</v>
      </c>
      <c r="Q71" s="52">
        <f t="shared" si="190"/>
        <v>0</v>
      </c>
      <c r="R71" s="52">
        <f t="shared" si="190"/>
        <v>0</v>
      </c>
      <c r="S71" s="52">
        <f t="shared" si="190"/>
        <v>0</v>
      </c>
      <c r="T71" s="52">
        <f t="shared" si="157"/>
        <v>0</v>
      </c>
      <c r="U71" s="109">
        <f t="shared" si="158"/>
        <v>0</v>
      </c>
      <c r="V71" s="52">
        <f aca="true" t="shared" si="191" ref="V71:AB71">V72+V73+V74+V75+V76</f>
        <v>0</v>
      </c>
      <c r="W71" s="52">
        <f t="shared" si="191"/>
        <v>0</v>
      </c>
      <c r="X71" s="52">
        <f t="shared" si="191"/>
        <v>0</v>
      </c>
      <c r="Y71" s="52">
        <f t="shared" si="191"/>
        <v>0</v>
      </c>
      <c r="Z71" s="52">
        <f t="shared" si="191"/>
        <v>0</v>
      </c>
      <c r="AA71" s="52">
        <f t="shared" si="191"/>
        <v>0</v>
      </c>
      <c r="AB71" s="52">
        <f t="shared" si="191"/>
        <v>0</v>
      </c>
      <c r="AC71" s="52">
        <f t="shared" si="160"/>
        <v>0</v>
      </c>
      <c r="AD71" s="109">
        <f t="shared" si="161"/>
        <v>0</v>
      </c>
      <c r="AE71" s="52">
        <f>AE72+AE73+AE74+AE75+AE76</f>
        <v>0</v>
      </c>
      <c r="AF71" s="52">
        <f>AF72+AF73+AF74+AF75+AF76</f>
        <v>0</v>
      </c>
      <c r="AG71" s="52">
        <f>AG72+AG73+AG74+AG75+AG76</f>
        <v>0</v>
      </c>
      <c r="AH71" s="52">
        <f>AH72+AH73+AH74+AH75+AH76</f>
        <v>0</v>
      </c>
      <c r="AI71" s="52">
        <f>AI72+AI73+AI74+AI75+AI76</f>
        <v>0</v>
      </c>
      <c r="AJ71" s="52">
        <v>0</v>
      </c>
      <c r="AK71" s="52">
        <f>AK72+AK73+AK74+AK75+AK76</f>
        <v>0</v>
      </c>
      <c r="AL71" s="52">
        <f t="shared" si="162"/>
        <v>0</v>
      </c>
      <c r="AM71" s="109">
        <f t="shared" si="163"/>
        <v>0</v>
      </c>
      <c r="AN71" s="52">
        <f aca="true" t="shared" si="192" ref="AN71:AT71">AN72+AN73+AN74+AN75+AN76</f>
        <v>0</v>
      </c>
      <c r="AO71" s="52">
        <f t="shared" si="192"/>
        <v>0</v>
      </c>
      <c r="AP71" s="52">
        <f t="shared" si="192"/>
        <v>0</v>
      </c>
      <c r="AQ71" s="52">
        <f t="shared" si="192"/>
        <v>0</v>
      </c>
      <c r="AR71" s="52">
        <f t="shared" si="192"/>
        <v>0</v>
      </c>
      <c r="AS71" s="52">
        <f t="shared" si="192"/>
        <v>0</v>
      </c>
      <c r="AT71" s="52">
        <f t="shared" si="192"/>
        <v>0</v>
      </c>
      <c r="AU71" s="52">
        <f t="shared" si="165"/>
        <v>0</v>
      </c>
      <c r="AV71" s="109">
        <f t="shared" si="166"/>
        <v>0</v>
      </c>
      <c r="AW71" s="52">
        <f>AW72+AW73+AW74+AW75+AW76</f>
        <v>0</v>
      </c>
      <c r="AX71" s="52">
        <f>AX72+AX73+AX74+AX75+AX76</f>
        <v>0</v>
      </c>
      <c r="AY71" s="52">
        <f>AY72+AY73+AY74+AY75+AY76</f>
        <v>0</v>
      </c>
      <c r="AZ71" s="52">
        <f>AZ72+AZ73+AZ74+AZ75+AZ76</f>
        <v>0</v>
      </c>
      <c r="BA71" s="52"/>
      <c r="BB71" s="52">
        <f>BB72+BB73+BB74+BB75+BB76</f>
        <v>0</v>
      </c>
      <c r="BC71" s="52">
        <f t="shared" si="167"/>
        <v>0</v>
      </c>
      <c r="BD71" s="109">
        <f t="shared" si="168"/>
        <v>0</v>
      </c>
      <c r="BE71" s="52">
        <f aca="true" t="shared" si="193" ref="BE71:BJ71">BE72+BE73+BE74+BE75+BE76</f>
        <v>0</v>
      </c>
      <c r="BF71" s="52">
        <f t="shared" si="193"/>
        <v>0</v>
      </c>
      <c r="BG71" s="52">
        <f t="shared" si="193"/>
        <v>0</v>
      </c>
      <c r="BH71" s="52">
        <f t="shared" si="193"/>
        <v>0</v>
      </c>
      <c r="BI71" s="52">
        <f t="shared" si="193"/>
        <v>0</v>
      </c>
      <c r="BJ71" s="52">
        <f t="shared" si="193"/>
        <v>0</v>
      </c>
      <c r="BK71" s="52">
        <f t="shared" si="170"/>
        <v>0</v>
      </c>
      <c r="BL71" s="109">
        <f t="shared" si="171"/>
        <v>0</v>
      </c>
      <c r="BM71" s="52">
        <f aca="true" t="shared" si="194" ref="BM71:BR71">BM72+BM73+BM74+BM75+BM76</f>
        <v>0</v>
      </c>
      <c r="BN71" s="52">
        <f t="shared" si="194"/>
        <v>0</v>
      </c>
      <c r="BO71" s="52">
        <f t="shared" si="194"/>
        <v>0</v>
      </c>
      <c r="BP71" s="52">
        <f t="shared" si="194"/>
        <v>0</v>
      </c>
      <c r="BQ71" s="52"/>
      <c r="BR71" s="52">
        <f t="shared" si="194"/>
        <v>0</v>
      </c>
      <c r="BS71" s="52">
        <f t="shared" si="173"/>
        <v>0</v>
      </c>
      <c r="BT71" s="109">
        <f t="shared" si="174"/>
        <v>0</v>
      </c>
      <c r="BU71" s="52">
        <f aca="true" t="shared" si="195" ref="BU71:BZ71">BU72+BU73+BU74+BU75+BU76</f>
        <v>0</v>
      </c>
      <c r="BV71" s="52">
        <f t="shared" si="195"/>
        <v>0</v>
      </c>
      <c r="BW71" s="52">
        <f t="shared" si="195"/>
        <v>0</v>
      </c>
      <c r="BX71" s="52">
        <f t="shared" si="195"/>
        <v>0</v>
      </c>
      <c r="BY71" s="52">
        <f t="shared" si="195"/>
        <v>0</v>
      </c>
      <c r="BZ71" s="52">
        <f t="shared" si="195"/>
        <v>0</v>
      </c>
      <c r="CA71" s="52">
        <f t="shared" si="176"/>
        <v>0</v>
      </c>
      <c r="CB71" s="109">
        <f t="shared" si="177"/>
        <v>0</v>
      </c>
      <c r="CC71" s="52">
        <f aca="true" t="shared" si="196" ref="CC71:CH71">CC72+CC73+CC74+CC75+CC76</f>
        <v>0</v>
      </c>
      <c r="CD71" s="52">
        <f t="shared" si="196"/>
        <v>0</v>
      </c>
      <c r="CE71" s="152">
        <f t="shared" si="196"/>
        <v>0</v>
      </c>
      <c r="CF71" s="152">
        <f t="shared" si="196"/>
        <v>0</v>
      </c>
      <c r="CG71" s="52">
        <f t="shared" si="196"/>
        <v>0</v>
      </c>
      <c r="CH71" s="152">
        <f t="shared" si="196"/>
        <v>0</v>
      </c>
      <c r="CI71" s="52">
        <f t="shared" si="179"/>
        <v>0</v>
      </c>
      <c r="CJ71" s="109">
        <f t="shared" si="180"/>
        <v>0</v>
      </c>
      <c r="CK71" s="52">
        <f aca="true" t="shared" si="197" ref="CK71:CP71">CK72+CK73+CK74+CK75+CK76</f>
        <v>0</v>
      </c>
      <c r="CL71" s="52">
        <f t="shared" si="197"/>
        <v>0</v>
      </c>
      <c r="CM71" s="52">
        <f t="shared" si="197"/>
        <v>0</v>
      </c>
      <c r="CN71" s="52">
        <f t="shared" si="197"/>
        <v>0</v>
      </c>
      <c r="CO71" s="52">
        <f t="shared" si="197"/>
        <v>0</v>
      </c>
      <c r="CP71" s="52">
        <f t="shared" si="197"/>
        <v>0</v>
      </c>
      <c r="CQ71" s="52">
        <f t="shared" si="182"/>
        <v>0</v>
      </c>
      <c r="CR71" s="109">
        <f t="shared" si="183"/>
        <v>0</v>
      </c>
      <c r="CS71" s="52">
        <f aca="true" t="shared" si="198" ref="CS71:CX71">CS72+CS73+CS74+CS75+CS76</f>
        <v>0</v>
      </c>
      <c r="CT71" s="52">
        <f t="shared" si="198"/>
        <v>0</v>
      </c>
      <c r="CU71" s="52">
        <f t="shared" si="198"/>
        <v>0</v>
      </c>
      <c r="CV71" s="52">
        <f t="shared" si="198"/>
        <v>0</v>
      </c>
      <c r="CW71" s="52">
        <f t="shared" si="198"/>
        <v>0</v>
      </c>
      <c r="CX71" s="52">
        <f t="shared" si="198"/>
        <v>0</v>
      </c>
      <c r="CY71" s="52">
        <f t="shared" si="185"/>
        <v>0</v>
      </c>
      <c r="CZ71" s="109">
        <f t="shared" si="186"/>
        <v>0</v>
      </c>
      <c r="DA71" s="52">
        <v>0</v>
      </c>
      <c r="DB71" s="52">
        <f>DB72+DB73+DB74+DB75+DB76</f>
        <v>0</v>
      </c>
      <c r="DC71" s="52" t="e">
        <f>DC72+DC73+DC74+DC75+DC76</f>
        <v>#REF!</v>
      </c>
      <c r="DD71" s="52" t="e">
        <f t="shared" si="187"/>
        <v>#REF!</v>
      </c>
      <c r="DE71" s="113">
        <f t="shared" si="188"/>
        <v>0</v>
      </c>
      <c r="DF71" s="119"/>
    </row>
    <row r="72" spans="1:110" ht="15.75" hidden="1">
      <c r="A72" s="98" t="s">
        <v>101</v>
      </c>
      <c r="B72" s="12" t="s">
        <v>27</v>
      </c>
      <c r="C72" s="10" t="s">
        <v>56</v>
      </c>
      <c r="D72" s="32"/>
      <c r="E72" s="32"/>
      <c r="F72" s="32"/>
      <c r="G72" s="32"/>
      <c r="H72" s="32"/>
      <c r="I72" s="156"/>
      <c r="J72" s="32"/>
      <c r="K72" s="53">
        <f t="shared" si="0"/>
        <v>0</v>
      </c>
      <c r="L72" s="110">
        <f t="shared" si="38"/>
        <v>0</v>
      </c>
      <c r="M72" s="32"/>
      <c r="N72" s="32"/>
      <c r="O72" s="32"/>
      <c r="P72" s="32"/>
      <c r="Q72" s="32"/>
      <c r="R72" s="156"/>
      <c r="S72" s="32"/>
      <c r="T72" s="53">
        <f t="shared" si="157"/>
        <v>0</v>
      </c>
      <c r="U72" s="110">
        <f t="shared" si="158"/>
        <v>0</v>
      </c>
      <c r="V72" s="32"/>
      <c r="W72" s="32"/>
      <c r="X72" s="32"/>
      <c r="Y72" s="32"/>
      <c r="Z72" s="32"/>
      <c r="AA72" s="156"/>
      <c r="AB72" s="32"/>
      <c r="AC72" s="53">
        <f t="shared" si="160"/>
        <v>0</v>
      </c>
      <c r="AD72" s="110">
        <f t="shared" si="161"/>
        <v>0</v>
      </c>
      <c r="AE72" s="32"/>
      <c r="AF72" s="32"/>
      <c r="AG72" s="32"/>
      <c r="AH72" s="32"/>
      <c r="AI72" s="32"/>
      <c r="AJ72" s="156"/>
      <c r="AK72" s="32"/>
      <c r="AL72" s="53">
        <f t="shared" si="162"/>
        <v>0</v>
      </c>
      <c r="AM72" s="110">
        <f t="shared" si="163"/>
        <v>0</v>
      </c>
      <c r="AN72" s="32"/>
      <c r="AO72" s="32"/>
      <c r="AP72" s="32"/>
      <c r="AQ72" s="32"/>
      <c r="AR72" s="32"/>
      <c r="AS72" s="156"/>
      <c r="AT72" s="32"/>
      <c r="AU72" s="53">
        <f t="shared" si="165"/>
        <v>0</v>
      </c>
      <c r="AV72" s="110">
        <f t="shared" si="166"/>
        <v>0</v>
      </c>
      <c r="AW72" s="32"/>
      <c r="AX72" s="32"/>
      <c r="AY72" s="32"/>
      <c r="AZ72" s="32"/>
      <c r="BA72" s="32"/>
      <c r="BB72" s="32"/>
      <c r="BC72" s="53">
        <f t="shared" si="167"/>
        <v>0</v>
      </c>
      <c r="BD72" s="110">
        <f t="shared" si="168"/>
        <v>0</v>
      </c>
      <c r="BE72" s="32"/>
      <c r="BF72" s="32"/>
      <c r="BG72" s="32"/>
      <c r="BH72" s="32"/>
      <c r="BI72" s="156"/>
      <c r="BJ72" s="156"/>
      <c r="BK72" s="53">
        <f t="shared" si="170"/>
        <v>0</v>
      </c>
      <c r="BL72" s="110">
        <f t="shared" si="171"/>
        <v>0</v>
      </c>
      <c r="BM72" s="32"/>
      <c r="BN72" s="32"/>
      <c r="BO72" s="32"/>
      <c r="BP72" s="32"/>
      <c r="BQ72" s="156"/>
      <c r="BR72" s="156"/>
      <c r="BS72" s="53">
        <f t="shared" si="173"/>
        <v>0</v>
      </c>
      <c r="BT72" s="110">
        <f t="shared" si="174"/>
        <v>0</v>
      </c>
      <c r="BU72" s="32"/>
      <c r="BV72" s="32"/>
      <c r="BW72" s="32"/>
      <c r="BX72" s="32"/>
      <c r="BY72" s="156"/>
      <c r="BZ72" s="32"/>
      <c r="CA72" s="53">
        <f t="shared" si="176"/>
        <v>0</v>
      </c>
      <c r="CB72" s="110">
        <f t="shared" si="177"/>
        <v>0</v>
      </c>
      <c r="CC72" s="32"/>
      <c r="CD72" s="32"/>
      <c r="CE72" s="178"/>
      <c r="CF72" s="178"/>
      <c r="CG72" s="156"/>
      <c r="CH72" s="178"/>
      <c r="CI72" s="53">
        <f t="shared" si="179"/>
        <v>0</v>
      </c>
      <c r="CJ72" s="110">
        <f t="shared" si="180"/>
        <v>0</v>
      </c>
      <c r="CK72" s="32"/>
      <c r="CL72" s="32"/>
      <c r="CM72" s="32"/>
      <c r="CN72" s="32"/>
      <c r="CO72" s="156"/>
      <c r="CP72" s="32"/>
      <c r="CQ72" s="53">
        <f t="shared" si="182"/>
        <v>0</v>
      </c>
      <c r="CR72" s="110">
        <f t="shared" si="183"/>
        <v>0</v>
      </c>
      <c r="CS72" s="32"/>
      <c r="CT72" s="32"/>
      <c r="CU72" s="32"/>
      <c r="CV72" s="32"/>
      <c r="CW72" s="156"/>
      <c r="CX72" s="32"/>
      <c r="CY72" s="53">
        <f t="shared" si="185"/>
        <v>0</v>
      </c>
      <c r="CZ72" s="110">
        <f t="shared" si="186"/>
        <v>0</v>
      </c>
      <c r="DA72" s="142">
        <v>0</v>
      </c>
      <c r="DB72" s="84">
        <f>I72+R72+AA72+AJ72+AS72+BA72+BI72+BQ72+BY72+CG72+CO72+CW72</f>
        <v>0</v>
      </c>
      <c r="DC72" s="106" t="e">
        <f>IF(#REF!&gt;=1,J72,I72)+IF(#REF!&gt;=2,S72,R72)+IF(#REF!&gt;=3,AB72,AA72)+IF(#REF!&gt;=4,AK72,AJ72)+IF(#REF!&gt;=5,AT72,AS72)+IF(#REF!&gt;=6,BB72,BA72)+IF(#REF!&gt;=7,BJ72,BI72)+IF(#REF!&gt;=8,BR72,BQ72)+IF(#REF!&gt;=9,BZ72,BY72)+IF(#REF!&gt;=10,CH72,CG72)+IF(#REF!&gt;=11,CP72,CO72)+IF(#REF!&gt;=12,CX72,CW72)</f>
        <v>#REF!</v>
      </c>
      <c r="DD72" s="53" t="e">
        <f t="shared" si="187"/>
        <v>#REF!</v>
      </c>
      <c r="DE72" s="114">
        <f t="shared" si="188"/>
        <v>0</v>
      </c>
      <c r="DF72" s="119"/>
    </row>
    <row r="73" spans="1:110" ht="15.75" hidden="1">
      <c r="A73" s="98" t="s">
        <v>102</v>
      </c>
      <c r="B73" s="12" t="s">
        <v>83</v>
      </c>
      <c r="C73" s="10" t="s">
        <v>56</v>
      </c>
      <c r="D73" s="33"/>
      <c r="E73" s="33"/>
      <c r="F73" s="33"/>
      <c r="G73" s="154"/>
      <c r="H73" s="33"/>
      <c r="I73" s="157"/>
      <c r="J73" s="33"/>
      <c r="K73" s="53">
        <f t="shared" si="0"/>
        <v>0</v>
      </c>
      <c r="L73" s="110">
        <f t="shared" si="38"/>
        <v>0</v>
      </c>
      <c r="M73" s="33"/>
      <c r="N73" s="33"/>
      <c r="O73" s="33"/>
      <c r="P73" s="33"/>
      <c r="Q73" s="33"/>
      <c r="R73" s="157"/>
      <c r="S73" s="33"/>
      <c r="T73" s="53">
        <f t="shared" si="157"/>
        <v>0</v>
      </c>
      <c r="U73" s="110">
        <f t="shared" si="158"/>
        <v>0</v>
      </c>
      <c r="V73" s="33"/>
      <c r="W73" s="33"/>
      <c r="X73" s="33"/>
      <c r="Y73" s="33"/>
      <c r="Z73" s="33"/>
      <c r="AA73" s="157"/>
      <c r="AB73" s="33"/>
      <c r="AC73" s="53">
        <f t="shared" si="160"/>
        <v>0</v>
      </c>
      <c r="AD73" s="110">
        <f t="shared" si="161"/>
        <v>0</v>
      </c>
      <c r="AE73" s="33"/>
      <c r="AF73" s="33"/>
      <c r="AG73" s="33"/>
      <c r="AH73" s="33"/>
      <c r="AI73" s="33"/>
      <c r="AJ73" s="157"/>
      <c r="AK73" s="33"/>
      <c r="AL73" s="53">
        <f t="shared" si="162"/>
        <v>0</v>
      </c>
      <c r="AM73" s="110">
        <f t="shared" si="163"/>
        <v>0</v>
      </c>
      <c r="AN73" s="33"/>
      <c r="AO73" s="33"/>
      <c r="AP73" s="33"/>
      <c r="AQ73" s="33"/>
      <c r="AR73" s="33"/>
      <c r="AS73" s="157"/>
      <c r="AT73" s="33"/>
      <c r="AU73" s="53">
        <f t="shared" si="165"/>
        <v>0</v>
      </c>
      <c r="AV73" s="110">
        <f t="shared" si="166"/>
        <v>0</v>
      </c>
      <c r="AW73" s="33"/>
      <c r="AX73" s="33"/>
      <c r="AY73" s="33"/>
      <c r="AZ73" s="33"/>
      <c r="BA73" s="33"/>
      <c r="BB73" s="33"/>
      <c r="BC73" s="53">
        <f t="shared" si="167"/>
        <v>0</v>
      </c>
      <c r="BD73" s="110">
        <f t="shared" si="168"/>
        <v>0</v>
      </c>
      <c r="BE73" s="33"/>
      <c r="BF73" s="33"/>
      <c r="BG73" s="154"/>
      <c r="BH73" s="154"/>
      <c r="BI73" s="157"/>
      <c r="BJ73" s="196"/>
      <c r="BK73" s="53">
        <f t="shared" si="170"/>
        <v>0</v>
      </c>
      <c r="BL73" s="110">
        <f t="shared" si="171"/>
        <v>0</v>
      </c>
      <c r="BM73" s="33"/>
      <c r="BN73" s="33"/>
      <c r="BO73" s="33"/>
      <c r="BP73" s="33"/>
      <c r="BQ73" s="157"/>
      <c r="BR73" s="196"/>
      <c r="BS73" s="53">
        <f t="shared" si="173"/>
        <v>0</v>
      </c>
      <c r="BT73" s="110">
        <f t="shared" si="174"/>
        <v>0</v>
      </c>
      <c r="BU73" s="33"/>
      <c r="BV73" s="33"/>
      <c r="BW73" s="33"/>
      <c r="BX73" s="33"/>
      <c r="BY73" s="157"/>
      <c r="BZ73" s="33"/>
      <c r="CA73" s="53">
        <f t="shared" si="176"/>
        <v>0</v>
      </c>
      <c r="CB73" s="110">
        <f t="shared" si="177"/>
        <v>0</v>
      </c>
      <c r="CC73" s="33"/>
      <c r="CD73" s="33"/>
      <c r="CE73" s="179"/>
      <c r="CF73" s="179"/>
      <c r="CG73" s="157"/>
      <c r="CH73" s="179"/>
      <c r="CI73" s="53">
        <f t="shared" si="179"/>
        <v>0</v>
      </c>
      <c r="CJ73" s="110">
        <f t="shared" si="180"/>
        <v>0</v>
      </c>
      <c r="CK73" s="33"/>
      <c r="CL73" s="33"/>
      <c r="CM73" s="33"/>
      <c r="CN73" s="33"/>
      <c r="CO73" s="157"/>
      <c r="CP73" s="33"/>
      <c r="CQ73" s="53">
        <f t="shared" si="182"/>
        <v>0</v>
      </c>
      <c r="CR73" s="110">
        <f t="shared" si="183"/>
        <v>0</v>
      </c>
      <c r="CS73" s="33"/>
      <c r="CT73" s="33"/>
      <c r="CU73" s="33"/>
      <c r="CV73" s="33"/>
      <c r="CW73" s="157"/>
      <c r="CX73" s="33"/>
      <c r="CY73" s="53">
        <f t="shared" si="185"/>
        <v>0</v>
      </c>
      <c r="CZ73" s="110">
        <f t="shared" si="186"/>
        <v>0</v>
      </c>
      <c r="DA73" s="142">
        <v>0</v>
      </c>
      <c r="DB73" s="84">
        <f>I73+R73+AA73+AJ73+AS73+BA73+BI73+BQ73+BY73+CG73+CO73+CW73</f>
        <v>0</v>
      </c>
      <c r="DC73" s="106" t="e">
        <f>IF(#REF!&gt;=1,J73,I73)+IF(#REF!&gt;=2,S73,R73)+IF(#REF!&gt;=3,AB73,AA73)+IF(#REF!&gt;=4,AK73,AJ73)+IF(#REF!&gt;=5,AT73,AS73)+IF(#REF!&gt;=6,BB73,BA73)+IF(#REF!&gt;=7,BJ73,BI73)+IF(#REF!&gt;=8,BR73,BQ73)+IF(#REF!&gt;=9,BZ73,BY73)+IF(#REF!&gt;=10,CH73,CG73)+IF(#REF!&gt;=11,CP73,CO73)+IF(#REF!&gt;=12,CX73,CW73)</f>
        <v>#REF!</v>
      </c>
      <c r="DD73" s="53" t="e">
        <f t="shared" si="187"/>
        <v>#REF!</v>
      </c>
      <c r="DE73" s="114">
        <f t="shared" si="188"/>
        <v>0</v>
      </c>
      <c r="DF73" s="119"/>
    </row>
    <row r="74" spans="1:110" ht="15.75" hidden="1">
      <c r="A74" s="98" t="s">
        <v>103</v>
      </c>
      <c r="B74" s="12" t="s">
        <v>31</v>
      </c>
      <c r="C74" s="10" t="s">
        <v>56</v>
      </c>
      <c r="D74" s="33"/>
      <c r="E74" s="33"/>
      <c r="F74" s="33"/>
      <c r="G74" s="154"/>
      <c r="H74" s="33"/>
      <c r="I74" s="157"/>
      <c r="J74" s="33"/>
      <c r="K74" s="53">
        <f t="shared" si="0"/>
        <v>0</v>
      </c>
      <c r="L74" s="110">
        <f t="shared" si="38"/>
        <v>0</v>
      </c>
      <c r="M74" s="33"/>
      <c r="N74" s="33"/>
      <c r="O74" s="33"/>
      <c r="P74" s="33"/>
      <c r="Q74" s="33"/>
      <c r="R74" s="157"/>
      <c r="S74" s="33"/>
      <c r="T74" s="53">
        <f t="shared" si="157"/>
        <v>0</v>
      </c>
      <c r="U74" s="110">
        <f t="shared" si="158"/>
        <v>0</v>
      </c>
      <c r="V74" s="33"/>
      <c r="W74" s="33"/>
      <c r="X74" s="33"/>
      <c r="Y74" s="33"/>
      <c r="Z74" s="33"/>
      <c r="AA74" s="157"/>
      <c r="AB74" s="33"/>
      <c r="AC74" s="53">
        <f t="shared" si="160"/>
        <v>0</v>
      </c>
      <c r="AD74" s="110">
        <f t="shared" si="161"/>
        <v>0</v>
      </c>
      <c r="AE74" s="33"/>
      <c r="AF74" s="33"/>
      <c r="AG74" s="33"/>
      <c r="AH74" s="33"/>
      <c r="AI74" s="33"/>
      <c r="AJ74" s="157"/>
      <c r="AK74" s="33"/>
      <c r="AL74" s="53">
        <f t="shared" si="162"/>
        <v>0</v>
      </c>
      <c r="AM74" s="110">
        <f t="shared" si="163"/>
        <v>0</v>
      </c>
      <c r="AN74" s="33"/>
      <c r="AO74" s="33"/>
      <c r="AP74" s="33"/>
      <c r="AQ74" s="33"/>
      <c r="AR74" s="33"/>
      <c r="AS74" s="157"/>
      <c r="AT74" s="33"/>
      <c r="AU74" s="53">
        <f t="shared" si="165"/>
        <v>0</v>
      </c>
      <c r="AV74" s="110">
        <f t="shared" si="166"/>
        <v>0</v>
      </c>
      <c r="AW74" s="33"/>
      <c r="AX74" s="33"/>
      <c r="AY74" s="33"/>
      <c r="AZ74" s="33"/>
      <c r="BA74" s="33"/>
      <c r="BB74" s="33"/>
      <c r="BC74" s="53">
        <f t="shared" si="167"/>
        <v>0</v>
      </c>
      <c r="BD74" s="110">
        <f t="shared" si="168"/>
        <v>0</v>
      </c>
      <c r="BE74" s="33"/>
      <c r="BF74" s="33"/>
      <c r="BG74" s="154"/>
      <c r="BH74" s="154"/>
      <c r="BI74" s="157"/>
      <c r="BJ74" s="196"/>
      <c r="BK74" s="53">
        <f t="shared" si="170"/>
        <v>0</v>
      </c>
      <c r="BL74" s="110">
        <f t="shared" si="171"/>
        <v>0</v>
      </c>
      <c r="BM74" s="33"/>
      <c r="BN74" s="33"/>
      <c r="BO74" s="33"/>
      <c r="BP74" s="33"/>
      <c r="BQ74" s="157"/>
      <c r="BR74" s="196"/>
      <c r="BS74" s="53">
        <f t="shared" si="173"/>
        <v>0</v>
      </c>
      <c r="BT74" s="110">
        <f t="shared" si="174"/>
        <v>0</v>
      </c>
      <c r="BU74" s="33"/>
      <c r="BV74" s="33"/>
      <c r="BW74" s="33"/>
      <c r="BX74" s="33"/>
      <c r="BY74" s="157"/>
      <c r="BZ74" s="33"/>
      <c r="CA74" s="53">
        <f t="shared" si="176"/>
        <v>0</v>
      </c>
      <c r="CB74" s="110">
        <f t="shared" si="177"/>
        <v>0</v>
      </c>
      <c r="CC74" s="33"/>
      <c r="CD74" s="33"/>
      <c r="CE74" s="179"/>
      <c r="CF74" s="179"/>
      <c r="CG74" s="157"/>
      <c r="CH74" s="179"/>
      <c r="CI74" s="53">
        <f t="shared" si="179"/>
        <v>0</v>
      </c>
      <c r="CJ74" s="110">
        <f t="shared" si="180"/>
        <v>0</v>
      </c>
      <c r="CK74" s="33"/>
      <c r="CL74" s="33"/>
      <c r="CM74" s="33"/>
      <c r="CN74" s="33"/>
      <c r="CO74" s="157"/>
      <c r="CP74" s="33"/>
      <c r="CQ74" s="53">
        <f t="shared" si="182"/>
        <v>0</v>
      </c>
      <c r="CR74" s="110">
        <f t="shared" si="183"/>
        <v>0</v>
      </c>
      <c r="CS74" s="33"/>
      <c r="CT74" s="33"/>
      <c r="CU74" s="33"/>
      <c r="CV74" s="33"/>
      <c r="CW74" s="157"/>
      <c r="CX74" s="33"/>
      <c r="CY74" s="53">
        <f t="shared" si="185"/>
        <v>0</v>
      </c>
      <c r="CZ74" s="110">
        <f t="shared" si="186"/>
        <v>0</v>
      </c>
      <c r="DA74" s="142">
        <v>0</v>
      </c>
      <c r="DB74" s="84">
        <f>I74+R74+AA74+AJ74+AS74+BA74+BI74+BQ74+BY74+CG74+CO74+CW74</f>
        <v>0</v>
      </c>
      <c r="DC74" s="106" t="e">
        <f>IF(#REF!&gt;=1,J74,I74)+IF(#REF!&gt;=2,S74,R74)+IF(#REF!&gt;=3,AB74,AA74)+IF(#REF!&gt;=4,AK74,AJ74)+IF(#REF!&gt;=5,AT74,AS74)+IF(#REF!&gt;=6,BB74,BA74)+IF(#REF!&gt;=7,BJ74,BI74)+IF(#REF!&gt;=8,BR74,BQ74)+IF(#REF!&gt;=9,BZ74,BY74)+IF(#REF!&gt;=10,CH74,CG74)+IF(#REF!&gt;=11,CP74,CO74)+IF(#REF!&gt;=12,CX74,CW74)</f>
        <v>#REF!</v>
      </c>
      <c r="DD74" s="53" t="e">
        <f t="shared" si="187"/>
        <v>#REF!</v>
      </c>
      <c r="DE74" s="114">
        <f t="shared" si="188"/>
        <v>0</v>
      </c>
      <c r="DF74" s="119"/>
    </row>
    <row r="75" spans="1:110" ht="15.75" hidden="1">
      <c r="A75" s="98" t="s">
        <v>104</v>
      </c>
      <c r="B75" s="12" t="s">
        <v>33</v>
      </c>
      <c r="C75" s="10" t="s">
        <v>56</v>
      </c>
      <c r="D75" s="17"/>
      <c r="E75" s="17"/>
      <c r="F75" s="17"/>
      <c r="G75" s="17"/>
      <c r="H75" s="17"/>
      <c r="I75" s="17"/>
      <c r="J75" s="17"/>
      <c r="K75" s="52">
        <f t="shared" si="0"/>
        <v>0</v>
      </c>
      <c r="L75" s="109">
        <f t="shared" si="38"/>
        <v>0</v>
      </c>
      <c r="M75" s="17"/>
      <c r="N75" s="17"/>
      <c r="O75" s="17"/>
      <c r="P75" s="17"/>
      <c r="Q75" s="17"/>
      <c r="R75" s="17"/>
      <c r="S75" s="17"/>
      <c r="T75" s="52">
        <f t="shared" si="157"/>
        <v>0</v>
      </c>
      <c r="U75" s="109">
        <f t="shared" si="158"/>
        <v>0</v>
      </c>
      <c r="V75" s="17"/>
      <c r="W75" s="17"/>
      <c r="X75" s="17"/>
      <c r="Y75" s="17"/>
      <c r="Z75" s="17"/>
      <c r="AA75" s="17"/>
      <c r="AB75" s="17"/>
      <c r="AC75" s="52">
        <f t="shared" si="160"/>
        <v>0</v>
      </c>
      <c r="AD75" s="109">
        <f t="shared" si="161"/>
        <v>0</v>
      </c>
      <c r="AE75" s="17"/>
      <c r="AF75" s="17"/>
      <c r="AG75" s="17"/>
      <c r="AH75" s="17"/>
      <c r="AI75" s="17"/>
      <c r="AJ75" s="17"/>
      <c r="AK75" s="17"/>
      <c r="AL75" s="52">
        <f t="shared" si="162"/>
        <v>0</v>
      </c>
      <c r="AM75" s="109">
        <f t="shared" si="163"/>
        <v>0</v>
      </c>
      <c r="AN75" s="17"/>
      <c r="AO75" s="17"/>
      <c r="AP75" s="17"/>
      <c r="AQ75" s="17"/>
      <c r="AR75" s="17"/>
      <c r="AS75" s="17"/>
      <c r="AT75" s="17"/>
      <c r="AU75" s="52">
        <f t="shared" si="165"/>
        <v>0</v>
      </c>
      <c r="AV75" s="109">
        <f t="shared" si="166"/>
        <v>0</v>
      </c>
      <c r="AW75" s="17"/>
      <c r="AX75" s="17"/>
      <c r="AY75" s="17"/>
      <c r="AZ75" s="17"/>
      <c r="BA75" s="17"/>
      <c r="BB75" s="17"/>
      <c r="BC75" s="52">
        <f t="shared" si="167"/>
        <v>0</v>
      </c>
      <c r="BD75" s="109">
        <f t="shared" si="168"/>
        <v>0</v>
      </c>
      <c r="BE75" s="17"/>
      <c r="BF75" s="17"/>
      <c r="BG75" s="17"/>
      <c r="BH75" s="17"/>
      <c r="BI75" s="17"/>
      <c r="BJ75" s="17"/>
      <c r="BK75" s="52">
        <f t="shared" si="170"/>
        <v>0</v>
      </c>
      <c r="BL75" s="109">
        <f t="shared" si="171"/>
        <v>0</v>
      </c>
      <c r="BM75" s="17"/>
      <c r="BN75" s="17"/>
      <c r="BO75" s="17"/>
      <c r="BP75" s="17"/>
      <c r="BQ75" s="17"/>
      <c r="BR75" s="17"/>
      <c r="BS75" s="52">
        <f t="shared" si="173"/>
        <v>0</v>
      </c>
      <c r="BT75" s="109">
        <f t="shared" si="174"/>
        <v>0</v>
      </c>
      <c r="BU75" s="17"/>
      <c r="BV75" s="17"/>
      <c r="BW75" s="17"/>
      <c r="BX75" s="17"/>
      <c r="BY75" s="17"/>
      <c r="BZ75" s="17"/>
      <c r="CA75" s="52">
        <f t="shared" si="176"/>
        <v>0</v>
      </c>
      <c r="CB75" s="109">
        <f t="shared" si="177"/>
        <v>0</v>
      </c>
      <c r="CC75" s="17"/>
      <c r="CD75" s="17"/>
      <c r="CE75" s="141"/>
      <c r="CF75" s="141"/>
      <c r="CG75" s="17"/>
      <c r="CH75" s="141"/>
      <c r="CI75" s="52">
        <f t="shared" si="179"/>
        <v>0</v>
      </c>
      <c r="CJ75" s="109">
        <f t="shared" si="180"/>
        <v>0</v>
      </c>
      <c r="CK75" s="17"/>
      <c r="CL75" s="17"/>
      <c r="CM75" s="17"/>
      <c r="CN75" s="17"/>
      <c r="CO75" s="17"/>
      <c r="CP75" s="17"/>
      <c r="CQ75" s="52">
        <f t="shared" si="182"/>
        <v>0</v>
      </c>
      <c r="CR75" s="109">
        <f t="shared" si="183"/>
        <v>0</v>
      </c>
      <c r="CS75" s="17"/>
      <c r="CT75" s="17"/>
      <c r="CU75" s="17"/>
      <c r="CV75" s="17"/>
      <c r="CW75" s="17"/>
      <c r="CX75" s="17"/>
      <c r="CY75" s="52">
        <f t="shared" si="185"/>
        <v>0</v>
      </c>
      <c r="CZ75" s="109">
        <f t="shared" si="186"/>
        <v>0</v>
      </c>
      <c r="DA75" s="142">
        <v>0</v>
      </c>
      <c r="DB75" s="84">
        <f>I75+R75+AA75+AJ75+AS75+BA75+BI75+BQ75+BY75+CG75+CO75+CW75</f>
        <v>0</v>
      </c>
      <c r="DC75" s="106" t="e">
        <f>IF(#REF!&gt;=1,J75,I75)+IF(#REF!&gt;=2,S75,R75)+IF(#REF!&gt;=3,AB75,AA75)+IF(#REF!&gt;=4,AK75,AJ75)+IF(#REF!&gt;=5,AT75,AS75)+IF(#REF!&gt;=6,BB75,BA75)+IF(#REF!&gt;=7,BJ75,BI75)+IF(#REF!&gt;=8,BR75,BQ75)+IF(#REF!&gt;=9,BZ75,BY75)+IF(#REF!&gt;=10,CH75,CG75)+IF(#REF!&gt;=11,CP75,CO75)+IF(#REF!&gt;=12,CX75,CW75)</f>
        <v>#REF!</v>
      </c>
      <c r="DD75" s="52" t="e">
        <f t="shared" si="187"/>
        <v>#REF!</v>
      </c>
      <c r="DE75" s="113">
        <f t="shared" si="188"/>
        <v>0</v>
      </c>
      <c r="DF75" s="119"/>
    </row>
    <row r="76" spans="1:110" ht="15.75" hidden="1">
      <c r="A76" s="98" t="s">
        <v>259</v>
      </c>
      <c r="B76" s="12" t="s">
        <v>257</v>
      </c>
      <c r="C76" s="10" t="s">
        <v>56</v>
      </c>
      <c r="D76" s="17"/>
      <c r="E76" s="17"/>
      <c r="F76" s="17"/>
      <c r="G76" s="17"/>
      <c r="H76" s="17"/>
      <c r="I76" s="17"/>
      <c r="J76" s="17"/>
      <c r="K76" s="52">
        <f>J76-I76</f>
        <v>0</v>
      </c>
      <c r="L76" s="109">
        <f>IF(I76=0,0,K76/I76)</f>
        <v>0</v>
      </c>
      <c r="M76" s="17"/>
      <c r="N76" s="17"/>
      <c r="O76" s="17"/>
      <c r="P76" s="17"/>
      <c r="Q76" s="17"/>
      <c r="R76" s="17"/>
      <c r="S76" s="17"/>
      <c r="T76" s="52">
        <f t="shared" si="157"/>
        <v>0</v>
      </c>
      <c r="U76" s="109">
        <f t="shared" si="158"/>
        <v>0</v>
      </c>
      <c r="V76" s="17"/>
      <c r="W76" s="17"/>
      <c r="X76" s="17"/>
      <c r="Y76" s="17"/>
      <c r="Z76" s="17"/>
      <c r="AA76" s="17"/>
      <c r="AB76" s="17"/>
      <c r="AC76" s="52">
        <f t="shared" si="160"/>
        <v>0</v>
      </c>
      <c r="AD76" s="109">
        <f t="shared" si="161"/>
        <v>0</v>
      </c>
      <c r="AE76" s="17"/>
      <c r="AF76" s="17"/>
      <c r="AG76" s="17"/>
      <c r="AH76" s="17"/>
      <c r="AI76" s="17"/>
      <c r="AJ76" s="17"/>
      <c r="AK76" s="17"/>
      <c r="AL76" s="52">
        <f t="shared" si="162"/>
        <v>0</v>
      </c>
      <c r="AM76" s="109">
        <f t="shared" si="163"/>
        <v>0</v>
      </c>
      <c r="AN76" s="17"/>
      <c r="AO76" s="17"/>
      <c r="AP76" s="17"/>
      <c r="AQ76" s="17"/>
      <c r="AR76" s="17"/>
      <c r="AS76" s="17"/>
      <c r="AT76" s="17"/>
      <c r="AU76" s="52">
        <f t="shared" si="165"/>
        <v>0</v>
      </c>
      <c r="AV76" s="109">
        <f t="shared" si="166"/>
        <v>0</v>
      </c>
      <c r="AW76" s="17"/>
      <c r="AX76" s="17"/>
      <c r="AY76" s="17"/>
      <c r="AZ76" s="17"/>
      <c r="BA76" s="17"/>
      <c r="BB76" s="17"/>
      <c r="BC76" s="52">
        <f t="shared" si="167"/>
        <v>0</v>
      </c>
      <c r="BD76" s="109">
        <f t="shared" si="168"/>
        <v>0</v>
      </c>
      <c r="BE76" s="17"/>
      <c r="BF76" s="17"/>
      <c r="BG76" s="17"/>
      <c r="BH76" s="17"/>
      <c r="BI76" s="17"/>
      <c r="BJ76" s="17"/>
      <c r="BK76" s="52">
        <f t="shared" si="170"/>
        <v>0</v>
      </c>
      <c r="BL76" s="109">
        <f t="shared" si="171"/>
        <v>0</v>
      </c>
      <c r="BM76" s="17"/>
      <c r="BN76" s="17"/>
      <c r="BO76" s="17"/>
      <c r="BP76" s="17"/>
      <c r="BQ76" s="17"/>
      <c r="BR76" s="17"/>
      <c r="BS76" s="52">
        <f t="shared" si="173"/>
        <v>0</v>
      </c>
      <c r="BT76" s="109">
        <f t="shared" si="174"/>
        <v>0</v>
      </c>
      <c r="BU76" s="17"/>
      <c r="BV76" s="17"/>
      <c r="BW76" s="17"/>
      <c r="BX76" s="17"/>
      <c r="BY76" s="17"/>
      <c r="BZ76" s="17"/>
      <c r="CA76" s="52">
        <f t="shared" si="176"/>
        <v>0</v>
      </c>
      <c r="CB76" s="109">
        <f t="shared" si="177"/>
        <v>0</v>
      </c>
      <c r="CC76" s="17"/>
      <c r="CD76" s="17"/>
      <c r="CE76" s="141"/>
      <c r="CF76" s="141"/>
      <c r="CG76" s="17"/>
      <c r="CH76" s="141"/>
      <c r="CI76" s="52">
        <f t="shared" si="179"/>
        <v>0</v>
      </c>
      <c r="CJ76" s="109">
        <f t="shared" si="180"/>
        <v>0</v>
      </c>
      <c r="CK76" s="17"/>
      <c r="CL76" s="17"/>
      <c r="CM76" s="17"/>
      <c r="CN76" s="17"/>
      <c r="CO76" s="17"/>
      <c r="CP76" s="17"/>
      <c r="CQ76" s="52">
        <f t="shared" si="182"/>
        <v>0</v>
      </c>
      <c r="CR76" s="109">
        <f t="shared" si="183"/>
        <v>0</v>
      </c>
      <c r="CS76" s="17"/>
      <c r="CT76" s="17"/>
      <c r="CU76" s="17"/>
      <c r="CV76" s="17"/>
      <c r="CW76" s="17"/>
      <c r="CX76" s="17"/>
      <c r="CY76" s="52">
        <f t="shared" si="185"/>
        <v>0</v>
      </c>
      <c r="CZ76" s="109">
        <f t="shared" si="186"/>
        <v>0</v>
      </c>
      <c r="DA76" s="142">
        <v>0</v>
      </c>
      <c r="DB76" s="84">
        <f>I76+R76+AA76+AJ76+AS76+BA76+BI76+BQ76+BY76+CG76+CO76+CW76</f>
        <v>0</v>
      </c>
      <c r="DC76" s="106" t="e">
        <f>IF(#REF!&gt;=1,J76,I76)+IF(#REF!&gt;=2,S76,R76)+IF(#REF!&gt;=3,AB76,AA76)+IF(#REF!&gt;=4,AK76,AJ76)+IF(#REF!&gt;=5,AT76,AS76)+IF(#REF!&gt;=6,BB76,BA76)+IF(#REF!&gt;=7,BJ76,BI76)+IF(#REF!&gt;=8,BR76,BQ76)+IF(#REF!&gt;=9,BZ76,BY76)+IF(#REF!&gt;=10,CH76,CG76)+IF(#REF!&gt;=11,CP76,CO76)+IF(#REF!&gt;=12,CX76,CW76)</f>
        <v>#REF!</v>
      </c>
      <c r="DD76" s="52" t="e">
        <f>DC76-DB76</f>
        <v>#REF!</v>
      </c>
      <c r="DE76" s="113">
        <f>IF(DB76=0,0,DD76/DB76)</f>
        <v>0</v>
      </c>
      <c r="DF76" s="119"/>
    </row>
    <row r="77" spans="1:110" ht="15.75">
      <c r="A77" s="98" t="s">
        <v>105</v>
      </c>
      <c r="B77" s="220" t="s">
        <v>61</v>
      </c>
      <c r="C77" s="24" t="s">
        <v>36</v>
      </c>
      <c r="D77" s="52">
        <f aca="true" t="shared" si="199" ref="D77:J77">D40-D48-D52</f>
        <v>6419.1106</v>
      </c>
      <c r="E77" s="52">
        <f t="shared" si="199"/>
        <v>4332.216999999997</v>
      </c>
      <c r="F77" s="52">
        <f t="shared" si="199"/>
        <v>4921.7980000000025</v>
      </c>
      <c r="G77" s="52">
        <f t="shared" si="199"/>
        <v>4867.542000000001</v>
      </c>
      <c r="H77" s="120">
        <f t="shared" si="199"/>
        <v>4425.25</v>
      </c>
      <c r="I77" s="120">
        <f t="shared" si="199"/>
        <v>4932.856</v>
      </c>
      <c r="J77" s="120">
        <f t="shared" si="199"/>
        <v>6342.2750000000015</v>
      </c>
      <c r="K77" s="120">
        <f t="shared" si="0"/>
        <v>1409.4190000000017</v>
      </c>
      <c r="L77" s="52" t="s">
        <v>250</v>
      </c>
      <c r="M77" s="52">
        <f aca="true" t="shared" si="200" ref="M77:S77">M40-M48-M52</f>
        <v>586.234000000004</v>
      </c>
      <c r="N77" s="52">
        <f t="shared" si="200"/>
        <v>2084.0179999999964</v>
      </c>
      <c r="O77" s="52">
        <f t="shared" si="200"/>
        <v>3213.4030000000057</v>
      </c>
      <c r="P77" s="52">
        <f t="shared" si="200"/>
        <v>1948.9619999999923</v>
      </c>
      <c r="Q77" s="120">
        <f t="shared" si="200"/>
        <v>2976.7049999999945</v>
      </c>
      <c r="R77" s="120">
        <f t="shared" si="200"/>
        <v>3191.8229999999967</v>
      </c>
      <c r="S77" s="120">
        <f t="shared" si="200"/>
        <v>4481.859000000011</v>
      </c>
      <c r="T77" s="120">
        <f t="shared" si="157"/>
        <v>1290.0360000000146</v>
      </c>
      <c r="U77" s="52" t="s">
        <v>250</v>
      </c>
      <c r="V77" s="52">
        <f aca="true" t="shared" si="201" ref="V77:AB77">V40-V48-V52</f>
        <v>5564.520000000004</v>
      </c>
      <c r="W77" s="52">
        <f t="shared" si="201"/>
        <v>6509.695000000007</v>
      </c>
      <c r="X77" s="52">
        <f t="shared" si="201"/>
        <v>6960.38700000001</v>
      </c>
      <c r="Y77" s="52">
        <f t="shared" si="201"/>
        <v>6550.061999999998</v>
      </c>
      <c r="Z77" s="120">
        <f t="shared" si="201"/>
        <v>5864.904000000002</v>
      </c>
      <c r="AA77" s="120">
        <f t="shared" si="201"/>
        <v>6261.773000000001</v>
      </c>
      <c r="AB77" s="120">
        <f t="shared" si="201"/>
        <v>5398.18</v>
      </c>
      <c r="AC77" s="52">
        <f t="shared" si="160"/>
        <v>-863.5930000000008</v>
      </c>
      <c r="AD77" s="52" t="s">
        <v>250</v>
      </c>
      <c r="AE77" s="52">
        <f aca="true" t="shared" si="202" ref="AE77:AK77">AE40-AE48-AE52</f>
        <v>2768.3859999999986</v>
      </c>
      <c r="AF77" s="120">
        <f t="shared" si="202"/>
        <v>2647.3369999999923</v>
      </c>
      <c r="AG77" s="120">
        <f t="shared" si="202"/>
        <v>2127.8150000000023</v>
      </c>
      <c r="AH77" s="120">
        <f t="shared" si="202"/>
        <v>2689.8429999999935</v>
      </c>
      <c r="AI77" s="120">
        <f t="shared" si="202"/>
        <v>2812.029999999999</v>
      </c>
      <c r="AJ77" s="120">
        <f t="shared" si="202"/>
        <v>2994.2580000000016</v>
      </c>
      <c r="AK77" s="120">
        <f t="shared" si="202"/>
        <v>3379.702000000005</v>
      </c>
      <c r="AL77" s="120">
        <f t="shared" si="162"/>
        <v>385.44400000000314</v>
      </c>
      <c r="AM77" s="52" t="s">
        <v>250</v>
      </c>
      <c r="AN77" s="52">
        <f aca="true" t="shared" si="203" ref="AN77:AT77">AN40-AN48-AN52</f>
        <v>2581.8430000000008</v>
      </c>
      <c r="AO77" s="52">
        <f t="shared" si="203"/>
        <v>3064.5840000000026</v>
      </c>
      <c r="AP77" s="52">
        <f t="shared" si="203"/>
        <v>2980.2090000000026</v>
      </c>
      <c r="AQ77" s="120">
        <f t="shared" si="203"/>
        <v>2791.411</v>
      </c>
      <c r="AR77" s="120">
        <f t="shared" si="203"/>
        <v>3571.8619999999937</v>
      </c>
      <c r="AS77" s="120">
        <f t="shared" si="203"/>
        <v>3196.931000000004</v>
      </c>
      <c r="AT77" s="120">
        <f t="shared" si="203"/>
        <v>2537.428</v>
      </c>
      <c r="AU77" s="120">
        <f t="shared" si="165"/>
        <v>-659.5030000000042</v>
      </c>
      <c r="AV77" s="52" t="s">
        <v>250</v>
      </c>
      <c r="AW77" s="52">
        <f>AW40-AW48-AW52</f>
        <v>13.16799999999057</v>
      </c>
      <c r="AX77" s="52">
        <f>AX40-AX48-AX52</f>
        <v>1310.8090000000084</v>
      </c>
      <c r="AY77" s="120">
        <f>AY40-AY48-AY52</f>
        <v>1339.104999999996</v>
      </c>
      <c r="AZ77" s="120">
        <f>AZ40-AZ48-AZ52</f>
        <v>1075.2180000000008</v>
      </c>
      <c r="BA77" s="52">
        <f>BA40-BA52</f>
        <v>1417.1050000000032</v>
      </c>
      <c r="BB77" s="120">
        <f>BB40-BB48-BB52</f>
        <v>4110.114999999991</v>
      </c>
      <c r="BC77" s="52">
        <f t="shared" si="167"/>
        <v>2693.0099999999875</v>
      </c>
      <c r="BD77" s="52" t="s">
        <v>250</v>
      </c>
      <c r="BE77" s="52">
        <f aca="true" t="shared" si="204" ref="BE77:BJ77">BE40-BE48-BE52</f>
        <v>5749.821999999993</v>
      </c>
      <c r="BF77" s="52">
        <f t="shared" si="204"/>
        <v>5708.3369999999995</v>
      </c>
      <c r="BG77" s="52">
        <f t="shared" si="204"/>
        <v>4218.851000000002</v>
      </c>
      <c r="BH77" s="120">
        <f t="shared" si="204"/>
        <v>5288.254000000008</v>
      </c>
      <c r="BI77" s="120">
        <f>BI40-BI48-BI52</f>
        <v>5050.633999999998</v>
      </c>
      <c r="BJ77" s="120">
        <f t="shared" si="204"/>
        <v>2784.172999999995</v>
      </c>
      <c r="BK77" s="120">
        <f t="shared" si="170"/>
        <v>-2266.461000000003</v>
      </c>
      <c r="BL77" s="52" t="s">
        <v>250</v>
      </c>
      <c r="BM77" s="52">
        <f aca="true" t="shared" si="205" ref="BM77:BR77">BM40-BM48-BM52</f>
        <v>3019.856000000007</v>
      </c>
      <c r="BN77" s="52">
        <f t="shared" si="205"/>
        <v>2214.964</v>
      </c>
      <c r="BO77" s="52">
        <f t="shared" si="205"/>
        <v>3198.6960000000036</v>
      </c>
      <c r="BP77" s="120">
        <f t="shared" si="205"/>
        <v>2981.9029999999984</v>
      </c>
      <c r="BQ77" s="120">
        <f>BQ40-BQ52</f>
        <v>3080.256999999998</v>
      </c>
      <c r="BR77" s="120">
        <f t="shared" si="205"/>
        <v>4172.0450000000055</v>
      </c>
      <c r="BS77" s="120">
        <f t="shared" si="173"/>
        <v>1091.7880000000077</v>
      </c>
      <c r="BT77" s="52" t="s">
        <v>250</v>
      </c>
      <c r="BU77" s="52">
        <f aca="true" t="shared" si="206" ref="BU77:BZ77">BU40-BU48-BU52</f>
        <v>4098.061999999991</v>
      </c>
      <c r="BV77" s="120">
        <f t="shared" si="206"/>
        <v>3340.699999999997</v>
      </c>
      <c r="BW77" s="120">
        <f t="shared" si="206"/>
        <v>4736.388999999996</v>
      </c>
      <c r="BX77" s="120">
        <f t="shared" si="206"/>
        <v>3037.8020000000033</v>
      </c>
      <c r="BY77" s="120">
        <f t="shared" si="206"/>
        <v>3432.959999999999</v>
      </c>
      <c r="BZ77" s="120">
        <f t="shared" si="206"/>
        <v>2453.2820000000065</v>
      </c>
      <c r="CA77" s="120">
        <f t="shared" si="176"/>
        <v>-979.6779999999926</v>
      </c>
      <c r="CB77" s="52" t="s">
        <v>250</v>
      </c>
      <c r="CC77" s="52">
        <f aca="true" t="shared" si="207" ref="CC77:CH77">CC40-CC48-CC52</f>
        <v>4431.226000000002</v>
      </c>
      <c r="CD77" s="52">
        <f t="shared" si="207"/>
        <v>5192.155999999995</v>
      </c>
      <c r="CE77" s="152">
        <f t="shared" si="207"/>
        <v>3869.8079999999973</v>
      </c>
      <c r="CF77" s="120">
        <f t="shared" si="207"/>
        <v>4148.610000000008</v>
      </c>
      <c r="CG77" s="120">
        <f t="shared" si="207"/>
        <v>4034.978000000003</v>
      </c>
      <c r="CH77" s="120">
        <f t="shared" si="207"/>
        <v>5794.063999999991</v>
      </c>
      <c r="CI77" s="120">
        <f t="shared" si="179"/>
        <v>1759.0859999999884</v>
      </c>
      <c r="CJ77" s="52" t="s">
        <v>250</v>
      </c>
      <c r="CK77" s="52">
        <f aca="true" t="shared" si="208" ref="CK77:CP77">CK40-CK48-CK52</f>
        <v>3430.8020000000106</v>
      </c>
      <c r="CL77" s="52">
        <f t="shared" si="208"/>
        <v>5317.0929999999935</v>
      </c>
      <c r="CM77" s="120">
        <f t="shared" si="208"/>
        <v>5279.873</v>
      </c>
      <c r="CN77" s="120">
        <f t="shared" si="208"/>
        <v>5135.025999999998</v>
      </c>
      <c r="CO77" s="120">
        <f t="shared" si="208"/>
        <v>4667.055</v>
      </c>
      <c r="CP77" s="120">
        <f t="shared" si="208"/>
        <v>4208.286</v>
      </c>
      <c r="CQ77" s="120">
        <f t="shared" si="182"/>
        <v>-458.76900000000023</v>
      </c>
      <c r="CR77" s="52" t="s">
        <v>250</v>
      </c>
      <c r="CS77" s="52">
        <f aca="true" t="shared" si="209" ref="CS77:CX77">CS40-CS48-CS52</f>
        <v>8342.167000000001</v>
      </c>
      <c r="CT77" s="52">
        <f t="shared" si="209"/>
        <v>8246.354</v>
      </c>
      <c r="CU77" s="120">
        <f t="shared" si="209"/>
        <v>7274.984000000004</v>
      </c>
      <c r="CV77" s="120">
        <f t="shared" si="209"/>
        <v>8228.481</v>
      </c>
      <c r="CW77" s="52">
        <f t="shared" si="209"/>
        <v>7033.369999999995</v>
      </c>
      <c r="CX77" s="120">
        <f t="shared" si="209"/>
        <v>8297.257000000005</v>
      </c>
      <c r="CY77" s="120">
        <f t="shared" si="185"/>
        <v>1263.8870000000097</v>
      </c>
      <c r="CZ77" s="52" t="s">
        <v>250</v>
      </c>
      <c r="DA77" s="120">
        <v>52361.65399999998</v>
      </c>
      <c r="DB77" s="84">
        <f>DB40-DB48-DB52</f>
        <v>49294.00000000006</v>
      </c>
      <c r="DC77" s="52">
        <v>52742</v>
      </c>
      <c r="DD77" s="52">
        <f t="shared" si="187"/>
        <v>3447.999999999942</v>
      </c>
      <c r="DE77" s="83" t="s">
        <v>250</v>
      </c>
      <c r="DF77" s="119"/>
    </row>
    <row r="78" spans="1:110" ht="15.75">
      <c r="A78" s="98" t="s">
        <v>106</v>
      </c>
      <c r="B78" s="220"/>
      <c r="C78" s="24" t="s">
        <v>1</v>
      </c>
      <c r="D78" s="51">
        <f aca="true" t="shared" si="210" ref="D78:J78">IF(D40=0,0,D77/D40)</f>
        <v>0.11689117032824908</v>
      </c>
      <c r="E78" s="51">
        <f t="shared" si="210"/>
        <v>0.08257461539873483</v>
      </c>
      <c r="F78" s="51">
        <f t="shared" si="210"/>
        <v>0.09400352999461191</v>
      </c>
      <c r="G78" s="51">
        <f t="shared" si="210"/>
        <v>0.09512719798850758</v>
      </c>
      <c r="H78" s="51">
        <f t="shared" si="210"/>
        <v>0.09203887494125183</v>
      </c>
      <c r="I78" s="51">
        <f t="shared" si="210"/>
        <v>0.09871417481876175</v>
      </c>
      <c r="J78" s="51">
        <f t="shared" si="210"/>
        <v>0.12228783484122428</v>
      </c>
      <c r="K78" s="51">
        <f t="shared" si="0"/>
        <v>0.023573660022462528</v>
      </c>
      <c r="L78" s="51" t="s">
        <v>250</v>
      </c>
      <c r="M78" s="51">
        <f aca="true" t="shared" si="211" ref="M78:S78">IF(M40=0,0,M77/M40)</f>
        <v>0.012317319449537343</v>
      </c>
      <c r="N78" s="51">
        <f t="shared" si="211"/>
        <v>0.04469586581181621</v>
      </c>
      <c r="O78" s="51">
        <f t="shared" si="211"/>
        <v>0.0674314528675696</v>
      </c>
      <c r="P78" s="51">
        <f t="shared" si="211"/>
        <v>0.042979837674623995</v>
      </c>
      <c r="Q78" s="51">
        <f t="shared" si="211"/>
        <v>0.06595690710375092</v>
      </c>
      <c r="R78" s="51">
        <f t="shared" si="211"/>
        <v>0.06855264035084398</v>
      </c>
      <c r="S78" s="51">
        <f t="shared" si="211"/>
        <v>0.0917192247455696</v>
      </c>
      <c r="T78" s="51">
        <f t="shared" si="157"/>
        <v>0.023166584394725617</v>
      </c>
      <c r="U78" s="51" t="s">
        <v>250</v>
      </c>
      <c r="V78" s="51">
        <f aca="true" t="shared" si="212" ref="V78:AB78">IF(V40=0,0,V77/V40)</f>
        <v>0.11452140381805936</v>
      </c>
      <c r="W78" s="51">
        <f t="shared" si="212"/>
        <v>0.13535470978902445</v>
      </c>
      <c r="X78" s="51">
        <f t="shared" si="212"/>
        <v>0.1390723391705837</v>
      </c>
      <c r="Y78" s="51">
        <f t="shared" si="212"/>
        <v>0.14050016986416997</v>
      </c>
      <c r="Z78" s="51">
        <f t="shared" si="212"/>
        <v>0.1318046441165793</v>
      </c>
      <c r="AA78" s="51">
        <f t="shared" si="212"/>
        <v>0.13435028298044618</v>
      </c>
      <c r="AB78" s="51">
        <f t="shared" si="212"/>
        <v>0.1116028460464439</v>
      </c>
      <c r="AC78" s="51">
        <f t="shared" si="160"/>
        <v>-0.022747436934002288</v>
      </c>
      <c r="AD78" s="51" t="s">
        <v>250</v>
      </c>
      <c r="AE78" s="51">
        <f aca="true" t="shared" si="213" ref="AE78:AK78">IF(AE40=0,0,AE77/AE40)</f>
        <v>0.06512280794858892</v>
      </c>
      <c r="AF78" s="51">
        <f t="shared" si="213"/>
        <v>0.061759803423996854</v>
      </c>
      <c r="AG78" s="51">
        <f t="shared" si="213"/>
        <v>0.04945304430752833</v>
      </c>
      <c r="AH78" s="51">
        <f t="shared" si="213"/>
        <v>0.06689132355466006</v>
      </c>
      <c r="AI78" s="51">
        <f t="shared" si="213"/>
        <v>0.07280764838775755</v>
      </c>
      <c r="AJ78" s="51">
        <f t="shared" si="213"/>
        <v>0.0718983436375545</v>
      </c>
      <c r="AK78" s="51">
        <f t="shared" si="213"/>
        <v>0.0806046934432199</v>
      </c>
      <c r="AL78" s="51">
        <f>AK78-AJ78</f>
        <v>0.008706349805665398</v>
      </c>
      <c r="AM78" s="51" t="s">
        <v>250</v>
      </c>
      <c r="AN78" s="51">
        <f aca="true" t="shared" si="214" ref="AN78:AT78">IF(AN40=0,0,AN77/AN40)</f>
        <v>0.06541473525855052</v>
      </c>
      <c r="AO78" s="51">
        <f t="shared" si="214"/>
        <v>0.07856601280530667</v>
      </c>
      <c r="AP78" s="51">
        <f t="shared" si="214"/>
        <v>0.07842489538971065</v>
      </c>
      <c r="AQ78" s="51">
        <f t="shared" si="214"/>
        <v>0.0731573208780301</v>
      </c>
      <c r="AR78" s="51">
        <f t="shared" si="214"/>
        <v>0.1002631110100081</v>
      </c>
      <c r="AS78" s="51">
        <f t="shared" si="214"/>
        <v>0.08194912707812947</v>
      </c>
      <c r="AT78" s="51">
        <f t="shared" si="214"/>
        <v>0.06534253567752178</v>
      </c>
      <c r="AU78" s="51">
        <f t="shared" si="165"/>
        <v>-0.01660659140060769</v>
      </c>
      <c r="AV78" s="51" t="s">
        <v>250</v>
      </c>
      <c r="AW78" s="51">
        <f>IF(AW40=0,0,AW77/AW40)</f>
        <v>0.00035889177120940045</v>
      </c>
      <c r="AX78" s="51">
        <f>IF(AX40=0,0,AX77/AX40)</f>
        <v>0.03426198586888388</v>
      </c>
      <c r="AY78" s="51">
        <f>IF(AY40=0,0,AY77/AY40)</f>
        <v>0.03572293659529209</v>
      </c>
      <c r="AZ78" s="51">
        <f>IF(AZ40=0,0,AZ77/AZ40)</f>
        <v>0.031228810465379928</v>
      </c>
      <c r="BA78" s="51">
        <f>BA77/BA40</f>
        <v>0.03715775218077171</v>
      </c>
      <c r="BB78" s="51">
        <f>IF(BB40=0,0,BB77/BB40)</f>
        <v>0.10183914112807779</v>
      </c>
      <c r="BC78" s="51">
        <f t="shared" si="167"/>
        <v>0.06468138894730607</v>
      </c>
      <c r="BD78" s="51" t="s">
        <v>250</v>
      </c>
      <c r="BE78" s="51">
        <f aca="true" t="shared" si="215" ref="BE78:BJ78">IF(BE40=0,0,BE77/BE40)</f>
        <v>0.14757323067051636</v>
      </c>
      <c r="BF78" s="51">
        <f t="shared" si="215"/>
        <v>0.13537684811215941</v>
      </c>
      <c r="BG78" s="51">
        <f t="shared" si="215"/>
        <v>0.11056030792984935</v>
      </c>
      <c r="BH78" s="51">
        <f t="shared" si="215"/>
        <v>0.12876024931539767</v>
      </c>
      <c r="BI78" s="51">
        <f t="shared" si="215"/>
        <v>0.1259912363514674</v>
      </c>
      <c r="BJ78" s="51">
        <f t="shared" si="215"/>
        <v>0.06612502772257266</v>
      </c>
      <c r="BK78" s="51">
        <f t="shared" si="170"/>
        <v>-0.05986620862889473</v>
      </c>
      <c r="BL78" s="51" t="s">
        <v>250</v>
      </c>
      <c r="BM78" s="51">
        <f aca="true" t="shared" si="216" ref="BM78:BR78">IF(BM40=0,0,BM77/BM40)</f>
        <v>0.07598469474498777</v>
      </c>
      <c r="BN78" s="51">
        <f t="shared" si="216"/>
        <v>0.055722359172592786</v>
      </c>
      <c r="BO78" s="51">
        <f t="shared" si="216"/>
        <v>0.08376235615446438</v>
      </c>
      <c r="BP78" s="51">
        <f t="shared" si="216"/>
        <v>0.07910715099114904</v>
      </c>
      <c r="BQ78" s="51">
        <f>BQ77/BQ40</f>
        <v>0.0797305962274215</v>
      </c>
      <c r="BR78" s="51">
        <f t="shared" si="216"/>
        <v>0.09353810453981139</v>
      </c>
      <c r="BS78" s="51">
        <f t="shared" si="173"/>
        <v>0.013807508312389888</v>
      </c>
      <c r="BT78" s="51" t="s">
        <v>250</v>
      </c>
      <c r="BU78" s="51">
        <f aca="true" t="shared" si="217" ref="BU78:BZ78">IF(BU40=0,0,BU77/BU40)</f>
        <v>0.10175280079782104</v>
      </c>
      <c r="BV78" s="51">
        <f t="shared" si="217"/>
        <v>0.08742686436734905</v>
      </c>
      <c r="BW78" s="51">
        <f t="shared" si="217"/>
        <v>0.11759159616860634</v>
      </c>
      <c r="BX78" s="51">
        <f t="shared" si="217"/>
        <v>0.07830411009440315</v>
      </c>
      <c r="BY78" s="51">
        <f t="shared" si="217"/>
        <v>0.08850374744134049</v>
      </c>
      <c r="BZ78" s="51">
        <f t="shared" si="217"/>
        <v>0.06043885141245856</v>
      </c>
      <c r="CA78" s="51">
        <f t="shared" si="176"/>
        <v>-0.028064896028881924</v>
      </c>
      <c r="CB78" s="51" t="s">
        <v>250</v>
      </c>
      <c r="CC78" s="51">
        <f aca="true" t="shared" si="218" ref="CC78:CH78">IF(CC40=0,0,CC77/CC40)</f>
        <v>0.09615741496220741</v>
      </c>
      <c r="CD78" s="51">
        <f t="shared" si="218"/>
        <v>0.11514742608104417</v>
      </c>
      <c r="CE78" s="51">
        <f t="shared" si="218"/>
        <v>0.08887732175963038</v>
      </c>
      <c r="CF78" s="51">
        <f t="shared" si="218"/>
        <v>0.0998125733898292</v>
      </c>
      <c r="CG78" s="51">
        <f t="shared" si="218"/>
        <v>0.09210518236343467</v>
      </c>
      <c r="CH78" s="51">
        <f t="shared" si="218"/>
        <v>0.1308994202240893</v>
      </c>
      <c r="CI78" s="51">
        <f t="shared" si="179"/>
        <v>0.038794237860654626</v>
      </c>
      <c r="CJ78" s="51" t="s">
        <v>250</v>
      </c>
      <c r="CK78" s="51">
        <f aca="true" t="shared" si="219" ref="CK78:CP78">IF(CK40=0,0,CK77/CK40)</f>
        <v>0.07377686922743612</v>
      </c>
      <c r="CL78" s="51">
        <f t="shared" si="219"/>
        <v>0.11108522580220836</v>
      </c>
      <c r="CM78" s="51">
        <f t="shared" si="219"/>
        <v>0.11345607928948484</v>
      </c>
      <c r="CN78" s="51">
        <f t="shared" si="219"/>
        <v>0.10960485419618615</v>
      </c>
      <c r="CO78" s="51">
        <f t="shared" si="219"/>
        <v>0.10045110127288794</v>
      </c>
      <c r="CP78" s="51">
        <f t="shared" si="219"/>
        <v>0.09062238553720231</v>
      </c>
      <c r="CQ78" s="51">
        <f>CP78-CO78</f>
        <v>-0.009828715735685625</v>
      </c>
      <c r="CR78" s="51" t="s">
        <v>250</v>
      </c>
      <c r="CS78" s="51">
        <f aca="true" t="shared" si="220" ref="CS78:CX78">IF(CS40=0,0,CS77/CS40)</f>
        <v>0.15970038877134626</v>
      </c>
      <c r="CT78" s="51">
        <f t="shared" si="220"/>
        <v>0.15734280438095608</v>
      </c>
      <c r="CU78" s="51">
        <f t="shared" si="220"/>
        <v>0.14373347444204773</v>
      </c>
      <c r="CV78" s="51">
        <f t="shared" si="220"/>
        <v>0.15446949896631818</v>
      </c>
      <c r="CW78" s="51">
        <f t="shared" si="220"/>
        <v>0.13768838511472845</v>
      </c>
      <c r="CX78" s="51">
        <f t="shared" si="220"/>
        <v>0.15808598384147227</v>
      </c>
      <c r="CY78" s="51">
        <f t="shared" si="185"/>
        <v>0.02039759872674382</v>
      </c>
      <c r="CZ78" s="51" t="s">
        <v>250</v>
      </c>
      <c r="DA78" s="51">
        <v>0.09798235057903894</v>
      </c>
      <c r="DB78" s="85">
        <f>IF(DB40=0,0,DB77/DB40)</f>
        <v>0.09465162809095352</v>
      </c>
      <c r="DC78" s="51" t="e">
        <f>IF(DC40=0,0,DC77/DC40)</f>
        <v>#REF!</v>
      </c>
      <c r="DD78" s="51" t="e">
        <f t="shared" si="187"/>
        <v>#REF!</v>
      </c>
      <c r="DE78" s="86" t="s">
        <v>250</v>
      </c>
      <c r="DF78" s="119"/>
    </row>
    <row r="79" spans="1:110" ht="15.75">
      <c r="A79" s="98" t="s">
        <v>107</v>
      </c>
      <c r="B79" s="222" t="s">
        <v>108</v>
      </c>
      <c r="C79" s="24" t="s">
        <v>36</v>
      </c>
      <c r="D79" s="17">
        <v>3740.253527</v>
      </c>
      <c r="E79" s="17">
        <v>3563.07401149474</v>
      </c>
      <c r="F79" s="17">
        <v>3554.55658</v>
      </c>
      <c r="G79" s="17">
        <v>5152.69544109999</v>
      </c>
      <c r="H79" s="17">
        <v>4841.6788589</v>
      </c>
      <c r="I79" s="187">
        <v>5004</v>
      </c>
      <c r="J79" s="187">
        <v>5193.5</v>
      </c>
      <c r="K79" s="52">
        <f aca="true" t="shared" si="221" ref="K79:K142">J79-I79</f>
        <v>189.5</v>
      </c>
      <c r="L79" s="52" t="s">
        <v>250</v>
      </c>
      <c r="M79" s="17">
        <v>4019.659604</v>
      </c>
      <c r="N79" s="17">
        <v>3927.73435950805</v>
      </c>
      <c r="O79" s="17">
        <v>4014.30784799444</v>
      </c>
      <c r="P79" s="17">
        <v>3820.01924142924</v>
      </c>
      <c r="Q79" s="124">
        <v>3208.8182238</v>
      </c>
      <c r="R79" s="190">
        <v>3290</v>
      </c>
      <c r="S79" s="190">
        <v>3452.86</v>
      </c>
      <c r="T79" s="52">
        <f t="shared" si="157"/>
        <v>162.86000000000013</v>
      </c>
      <c r="U79" s="52" t="s">
        <v>250</v>
      </c>
      <c r="V79" s="17">
        <v>6388.14631553319</v>
      </c>
      <c r="W79" s="17">
        <v>6312.48156185866</v>
      </c>
      <c r="X79" s="17">
        <v>6581.40142</v>
      </c>
      <c r="Y79" s="17">
        <v>6862.4523712</v>
      </c>
      <c r="Z79" s="124">
        <v>6656.74297</v>
      </c>
      <c r="AA79" s="187">
        <v>6389</v>
      </c>
      <c r="AB79" s="187">
        <v>6630.5</v>
      </c>
      <c r="AC79" s="52">
        <f t="shared" si="160"/>
        <v>241.5</v>
      </c>
      <c r="AD79" s="52" t="s">
        <v>250</v>
      </c>
      <c r="AE79" s="17">
        <v>3634.67162410745</v>
      </c>
      <c r="AF79" s="141">
        <v>3654.18259742324</v>
      </c>
      <c r="AG79" s="141">
        <v>3622.8714634</v>
      </c>
      <c r="AH79" s="141">
        <v>3385.8618512</v>
      </c>
      <c r="AI79" s="141">
        <v>2568.411412</v>
      </c>
      <c r="AJ79" s="195">
        <v>3082</v>
      </c>
      <c r="AK79" s="195">
        <v>3102.99</v>
      </c>
      <c r="AL79" s="52">
        <f t="shared" si="162"/>
        <v>20.98999999999978</v>
      </c>
      <c r="AM79" s="52" t="s">
        <v>250</v>
      </c>
      <c r="AN79" s="17">
        <f>4.15927806960898*1000</f>
        <v>4159.27806960898</v>
      </c>
      <c r="AO79" s="17">
        <v>4099.99381662192</v>
      </c>
      <c r="AP79" s="17">
        <v>3993.1553166</v>
      </c>
      <c r="AQ79" s="121">
        <v>3609.5838042</v>
      </c>
      <c r="AR79" s="121">
        <v>2896.303313</v>
      </c>
      <c r="AS79" s="187">
        <v>3310</v>
      </c>
      <c r="AT79" s="121">
        <v>3294.86</v>
      </c>
      <c r="AU79" s="52">
        <f>AT79-AS79</f>
        <v>-15.139999999999873</v>
      </c>
      <c r="AV79" s="52" t="s">
        <v>250</v>
      </c>
      <c r="AW79" s="118">
        <v>1753.66945923813</v>
      </c>
      <c r="AX79" s="118">
        <v>1828.59826993895</v>
      </c>
      <c r="AY79" s="17">
        <v>1793.607928191</v>
      </c>
      <c r="AZ79" s="118">
        <v>1793.607928191</v>
      </c>
      <c r="BA79" s="17">
        <v>1516</v>
      </c>
      <c r="BB79" s="150">
        <v>1606.2839414</v>
      </c>
      <c r="BC79" s="52">
        <f t="shared" si="167"/>
        <v>90.2839414</v>
      </c>
      <c r="BD79" s="52" t="s">
        <v>250</v>
      </c>
      <c r="BE79" s="17">
        <v>3873.05875061658</v>
      </c>
      <c r="BF79" s="17">
        <v>4191.52900225805</v>
      </c>
      <c r="BG79" s="17">
        <v>5601.7178588</v>
      </c>
      <c r="BH79" s="121">
        <v>4796.79358311</v>
      </c>
      <c r="BI79" s="187">
        <v>5114</v>
      </c>
      <c r="BJ79" s="121">
        <v>5371.3755</v>
      </c>
      <c r="BK79" s="52">
        <f t="shared" si="170"/>
        <v>257.3755000000001</v>
      </c>
      <c r="BL79" s="52" t="s">
        <v>250</v>
      </c>
      <c r="BM79" s="17">
        <v>4590.68325428583</v>
      </c>
      <c r="BN79" s="17">
        <v>4590.8996642978</v>
      </c>
      <c r="BO79" s="17">
        <v>3465.08151357976</v>
      </c>
      <c r="BP79" s="144">
        <v>2491.5</v>
      </c>
      <c r="BQ79" s="187">
        <v>3175</v>
      </c>
      <c r="BR79" s="121">
        <v>3665.5758215863057</v>
      </c>
      <c r="BS79" s="52">
        <f t="shared" si="173"/>
        <v>490.57582158630566</v>
      </c>
      <c r="BT79" s="52" t="s">
        <v>250</v>
      </c>
      <c r="BU79" s="17">
        <v>3397.81532292892</v>
      </c>
      <c r="BV79" s="144">
        <v>2994.13745225069</v>
      </c>
      <c r="BW79" s="121">
        <v>4216.76173528329</v>
      </c>
      <c r="BX79" s="17">
        <v>3405.957</v>
      </c>
      <c r="BY79" s="187">
        <v>3528</v>
      </c>
      <c r="BZ79" s="121">
        <v>3691.9241</v>
      </c>
      <c r="CA79" s="52">
        <f t="shared" si="176"/>
        <v>163.92410000000018</v>
      </c>
      <c r="CB79" s="52" t="s">
        <v>250</v>
      </c>
      <c r="CC79" s="17">
        <v>6614.66158760076</v>
      </c>
      <c r="CD79" s="17">
        <v>6333.251076666729</v>
      </c>
      <c r="CE79" s="141">
        <v>5409.05282753011</v>
      </c>
      <c r="CF79" s="186">
        <v>4302.045</v>
      </c>
      <c r="CG79" s="187">
        <v>4128</v>
      </c>
      <c r="CH79" s="186">
        <v>4170.884365</v>
      </c>
      <c r="CI79" s="52">
        <f t="shared" si="179"/>
        <v>42.88436499999989</v>
      </c>
      <c r="CJ79" s="52" t="s">
        <v>250</v>
      </c>
      <c r="CK79" s="17">
        <v>5366.3777678</v>
      </c>
      <c r="CL79" s="17">
        <v>5523.6196152</v>
      </c>
      <c r="CM79" s="121">
        <v>5370.3366802</v>
      </c>
      <c r="CN79" s="17">
        <v>5242.865</v>
      </c>
      <c r="CO79" s="190">
        <v>4753</v>
      </c>
      <c r="CP79" s="121">
        <v>4750.60974</v>
      </c>
      <c r="CQ79" s="52">
        <f t="shared" si="182"/>
        <v>-2.3902600000001257</v>
      </c>
      <c r="CR79" s="52" t="s">
        <v>250</v>
      </c>
      <c r="CS79" s="17">
        <v>10734.57198</v>
      </c>
      <c r="CT79" s="17">
        <v>10702.1448704</v>
      </c>
      <c r="CU79" s="121">
        <v>8214.5363178</v>
      </c>
      <c r="CV79" s="17">
        <v>7996.13</v>
      </c>
      <c r="CW79" s="187">
        <v>7090</v>
      </c>
      <c r="CX79" s="141">
        <v>7284.86</v>
      </c>
      <c r="CY79" s="120">
        <f t="shared" si="185"/>
        <v>194.85999999999967</v>
      </c>
      <c r="CZ79" s="52" t="s">
        <v>250</v>
      </c>
      <c r="DA79" s="142">
        <v>51237.492576900004</v>
      </c>
      <c r="DB79" s="84">
        <f>I79+R79+AA79+AJ79+AS79+BA79+BI79+BQ79+BY79+CG79+CO79+CW79</f>
        <v>50379</v>
      </c>
      <c r="DC79" s="106" t="e">
        <f>IF(#REF!&gt;=1,J79,I79)+IF(#REF!&gt;=2,S79,R79)+IF(#REF!&gt;=3,AB79,AA79)+IF(#REF!&gt;=4,AK79,AJ79)+IF(#REF!&gt;=5,AT79,AS79)+IF(#REF!&gt;=6,BB79,BA79)+IF(#REF!&gt;=7,BJ79,BI79)+IF(#REF!&gt;=8,BR79,BQ79)+IF(#REF!&gt;=9,BZ79,BY79)+IF(#REF!&gt;=10,CH79,CG79)+IF(#REF!&gt;=11,CP79,CO79)+IF(#REF!&gt;=12,CX79,CW79)</f>
        <v>#REF!</v>
      </c>
      <c r="DD79" s="52" t="e">
        <f t="shared" si="187"/>
        <v>#REF!</v>
      </c>
      <c r="DE79" s="83" t="s">
        <v>250</v>
      </c>
      <c r="DF79" s="119"/>
    </row>
    <row r="80" spans="1:109" ht="15.75">
      <c r="A80" s="98" t="s">
        <v>109</v>
      </c>
      <c r="B80" s="222"/>
      <c r="C80" s="10" t="s">
        <v>1</v>
      </c>
      <c r="D80" s="54">
        <f aca="true" t="shared" si="222" ref="D80:I80">IF(D40=0,0,D79/D40)</f>
        <v>0.06810953095205921</v>
      </c>
      <c r="E80" s="54">
        <f t="shared" si="222"/>
        <v>0.06791429564502555</v>
      </c>
      <c r="F80" s="54">
        <f t="shared" si="222"/>
        <v>0.06788999997268781</v>
      </c>
      <c r="G80" s="54">
        <f t="shared" si="222"/>
        <v>0.10069999999999979</v>
      </c>
      <c r="H80" s="54">
        <f t="shared" si="222"/>
        <v>0.1007</v>
      </c>
      <c r="I80" s="54">
        <f t="shared" si="222"/>
        <v>0.10013787769054759</v>
      </c>
      <c r="J80" s="54">
        <f>IF(J40=0,0,J79/J40)</f>
        <v>0.10013786381825106</v>
      </c>
      <c r="K80" s="51">
        <f t="shared" si="221"/>
        <v>-1.3872296533712358E-08</v>
      </c>
      <c r="L80" s="51" t="s">
        <v>250</v>
      </c>
      <c r="M80" s="54">
        <f aca="true" t="shared" si="223" ref="M80:S80">IF(M40=0,0,M79/M40)</f>
        <v>0.08445677224601172</v>
      </c>
      <c r="N80" s="54">
        <f t="shared" si="223"/>
        <v>0.08423799020787345</v>
      </c>
      <c r="O80" s="54">
        <f t="shared" si="223"/>
        <v>0.08423799020787351</v>
      </c>
      <c r="P80" s="54">
        <f t="shared" si="223"/>
        <v>0.08424166654381648</v>
      </c>
      <c r="Q80" s="54">
        <f t="shared" si="223"/>
        <v>0.0711</v>
      </c>
      <c r="R80" s="54">
        <f t="shared" si="223"/>
        <v>0.07066124492312917</v>
      </c>
      <c r="S80" s="54">
        <f t="shared" si="223"/>
        <v>0.07066122391511795</v>
      </c>
      <c r="T80" s="51">
        <f t="shared" si="157"/>
        <v>-2.1008011219514344E-08</v>
      </c>
      <c r="U80" s="51" t="s">
        <v>250</v>
      </c>
      <c r="V80" s="54">
        <f aca="true" t="shared" si="224" ref="V80:AB80">IF(V40=0,0,V79/V40)</f>
        <v>0.13147216360980354</v>
      </c>
      <c r="W80" s="54">
        <f t="shared" si="224"/>
        <v>0.1312540925272145</v>
      </c>
      <c r="X80" s="54">
        <f t="shared" si="224"/>
        <v>0.13149999999999998</v>
      </c>
      <c r="Y80" s="54">
        <f t="shared" si="224"/>
        <v>0.14720100723296609</v>
      </c>
      <c r="Z80" s="54">
        <f t="shared" si="224"/>
        <v>0.1495999999550531</v>
      </c>
      <c r="AA80" s="194">
        <f t="shared" si="224"/>
        <v>0.13708001838490003</v>
      </c>
      <c r="AB80" s="194">
        <f t="shared" si="224"/>
        <v>0.13708002895623084</v>
      </c>
      <c r="AC80" s="51">
        <f t="shared" si="160"/>
        <v>1.057133081072692E-08</v>
      </c>
      <c r="AD80" s="51" t="s">
        <v>250</v>
      </c>
      <c r="AE80" s="54">
        <f aca="true" t="shared" si="225" ref="AE80:AK80">IF(AE40=0,0,AE79/AE40)</f>
        <v>0.08550109057513489</v>
      </c>
      <c r="AF80" s="54">
        <f t="shared" si="225"/>
        <v>0.08524853424110727</v>
      </c>
      <c r="AG80" s="54">
        <f t="shared" si="225"/>
        <v>0.0842</v>
      </c>
      <c r="AH80" s="54">
        <f t="shared" si="225"/>
        <v>0.0842</v>
      </c>
      <c r="AI80" s="54">
        <f t="shared" si="225"/>
        <v>0.06649999999999999</v>
      </c>
      <c r="AJ80" s="54">
        <f t="shared" si="225"/>
        <v>0.07400521100417627</v>
      </c>
      <c r="AK80" s="54">
        <f t="shared" si="225"/>
        <v>0.07400521043197789</v>
      </c>
      <c r="AL80" s="51">
        <f t="shared" si="162"/>
        <v>-5.721983858952839E-10</v>
      </c>
      <c r="AM80" s="51" t="s">
        <v>250</v>
      </c>
      <c r="AN80" s="54">
        <f aca="true" t="shared" si="226" ref="AN80:AT80">IF(AN40=0,0,AN79/AN40)</f>
        <v>0.10538133952768096</v>
      </c>
      <c r="AO80" s="54">
        <f t="shared" si="226"/>
        <v>0.10511056857909447</v>
      </c>
      <c r="AP80" s="54">
        <f t="shared" si="226"/>
        <v>0.10508081412384891</v>
      </c>
      <c r="AQ80" s="54">
        <f t="shared" si="226"/>
        <v>0.09459999999999999</v>
      </c>
      <c r="AR80" s="54">
        <f t="shared" si="226"/>
        <v>0.08129999999719298</v>
      </c>
      <c r="AS80" s="54">
        <f t="shared" si="226"/>
        <v>0.0848475023791906</v>
      </c>
      <c r="AT80" s="54">
        <f t="shared" si="226"/>
        <v>0.08484753344821584</v>
      </c>
      <c r="AU80" s="51">
        <f t="shared" si="165"/>
        <v>3.106902524141475E-08</v>
      </c>
      <c r="AV80" s="51" t="s">
        <v>250</v>
      </c>
      <c r="AW80" s="54">
        <f>IF(AW40=0,0,AW79/AW40)</f>
        <v>0.0477959855970728</v>
      </c>
      <c r="AX80" s="54">
        <f>IF(AX40=0,0,AX79/AX40)</f>
        <v>0.04779598559707281</v>
      </c>
      <c r="AY80" s="54">
        <f>IF(AY40=0,0,AY79/AY40)</f>
        <v>0.047847586481702696</v>
      </c>
      <c r="AZ80" s="54">
        <f>IF(AZ40=0,0,AZ79/AZ40)</f>
        <v>0.05209384705118354</v>
      </c>
      <c r="BA80" s="54">
        <f>BA79/BA40</f>
        <v>0.0397508669477913</v>
      </c>
      <c r="BB80" s="54">
        <f>IF(BB40=0,0,BB79/BB40)</f>
        <v>0.0398</v>
      </c>
      <c r="BC80" s="51">
        <f t="shared" si="167"/>
        <v>4.9133052208702455E-05</v>
      </c>
      <c r="BD80" s="51" t="s">
        <v>250</v>
      </c>
      <c r="BE80" s="54">
        <f aca="true" t="shared" si="227" ref="BE80:BJ80">IF(BE40=0,0,BE79/BE40)</f>
        <v>0.09940478025323274</v>
      </c>
      <c r="BF80" s="54">
        <f t="shared" si="227"/>
        <v>0.09940478025323297</v>
      </c>
      <c r="BG80" s="54">
        <f t="shared" si="227"/>
        <v>0.14680007694158054</v>
      </c>
      <c r="BH80" s="165">
        <f t="shared" si="227"/>
        <v>0.1167939999999513</v>
      </c>
      <c r="BI80" s="164">
        <f t="shared" si="227"/>
        <v>0.12757194100808028</v>
      </c>
      <c r="BJ80" s="197">
        <f t="shared" si="227"/>
        <v>0.12757194105605082</v>
      </c>
      <c r="BK80" s="51">
        <f t="shared" si="170"/>
        <v>4.797054420357938E-11</v>
      </c>
      <c r="BL80" s="51" t="s">
        <v>250</v>
      </c>
      <c r="BM80" s="54">
        <f aca="true" t="shared" si="228" ref="BM80:BR80">IF(BM40=0,0,BM79/BM40)</f>
        <v>0.11550937056198543</v>
      </c>
      <c r="BN80" s="54">
        <f t="shared" si="228"/>
        <v>0.11549431955523325</v>
      </c>
      <c r="BO80" s="54">
        <f t="shared" si="228"/>
        <v>0.09073803570102255</v>
      </c>
      <c r="BP80" s="54">
        <f t="shared" si="228"/>
        <v>0.06609720929703211</v>
      </c>
      <c r="BQ80" s="164">
        <f>BQ79/BQ40</f>
        <v>0.08218296168860698</v>
      </c>
      <c r="BR80" s="197">
        <f t="shared" si="228"/>
        <v>0.082182961688607</v>
      </c>
      <c r="BS80" s="51">
        <f t="shared" si="173"/>
        <v>0</v>
      </c>
      <c r="BT80" s="51" t="s">
        <v>250</v>
      </c>
      <c r="BU80" s="54">
        <f aca="true" t="shared" si="229" ref="BU80:BZ80">IF(BU40=0,0,BU79/BU40)</f>
        <v>0.08436603099264266</v>
      </c>
      <c r="BV80" s="54">
        <f t="shared" si="229"/>
        <v>0.07835724516871354</v>
      </c>
      <c r="BW80" s="54">
        <f t="shared" si="229"/>
        <v>0.10469067112407043</v>
      </c>
      <c r="BX80" s="54">
        <f t="shared" si="229"/>
        <v>0.08779388251926977</v>
      </c>
      <c r="BY80" s="54">
        <f t="shared" si="229"/>
        <v>0.09095393508023668</v>
      </c>
      <c r="BZ80" s="54">
        <f t="shared" si="229"/>
        <v>0.09095393522064493</v>
      </c>
      <c r="CA80" s="51">
        <f t="shared" si="176"/>
        <v>1.4040825446759442E-10</v>
      </c>
      <c r="CB80" s="51" t="s">
        <v>250</v>
      </c>
      <c r="CC80" s="54">
        <f aca="true" t="shared" si="230" ref="CC80:CH80">IF(CC40=0,0,CC79/CC40)</f>
        <v>0.1435378739684005</v>
      </c>
      <c r="CD80" s="54">
        <f t="shared" si="230"/>
        <v>0.14045370751633354</v>
      </c>
      <c r="CE80" s="54">
        <f t="shared" si="230"/>
        <v>0.12422893553562153</v>
      </c>
      <c r="CF80" s="185">
        <f t="shared" si="230"/>
        <v>0.10350410915676503</v>
      </c>
      <c r="CG80" s="54">
        <f t="shared" si="230"/>
        <v>0.09422856649931129</v>
      </c>
      <c r="CH80" s="185">
        <f t="shared" si="230"/>
        <v>0.09422856654676573</v>
      </c>
      <c r="CI80" s="51">
        <f t="shared" si="179"/>
        <v>4.745444315279457E-11</v>
      </c>
      <c r="CJ80" s="51" t="s">
        <v>250</v>
      </c>
      <c r="CK80" s="54">
        <v>0.1154</v>
      </c>
      <c r="CL80" s="54">
        <v>0.1154</v>
      </c>
      <c r="CM80" s="54">
        <v>0.1154</v>
      </c>
      <c r="CN80" s="54">
        <f>IF(CN40=0,0,CN79/CN40)</f>
        <v>0.11190662985840533</v>
      </c>
      <c r="CO80" s="54">
        <f>IF(CO40=0,0,CO79/CO40)</f>
        <v>0.10230093374730666</v>
      </c>
      <c r="CP80" s="54">
        <f>IF(CP40=0,0,CP79/CP40)</f>
        <v>0.10230093377566744</v>
      </c>
      <c r="CQ80" s="51">
        <f t="shared" si="182"/>
        <v>2.8360785941927702E-11</v>
      </c>
      <c r="CR80" s="51" t="s">
        <v>250</v>
      </c>
      <c r="CS80" s="54">
        <f aca="true" t="shared" si="231" ref="CS80:CX80">IF(CS40=0,0,CS79/CS40)</f>
        <v>0.20550000000000002</v>
      </c>
      <c r="CT80" s="54">
        <f t="shared" si="231"/>
        <v>0.2042</v>
      </c>
      <c r="CU80" s="54">
        <f t="shared" si="231"/>
        <v>0.1622964182309925</v>
      </c>
      <c r="CV80" s="54">
        <f t="shared" si="231"/>
        <v>0.15010768023521545</v>
      </c>
      <c r="CW80" s="54">
        <f t="shared" si="231"/>
        <v>0.13879699922845312</v>
      </c>
      <c r="CX80" s="54">
        <f t="shared" si="231"/>
        <v>0.13879698558781375</v>
      </c>
      <c r="CY80" s="199">
        <f t="shared" si="185"/>
        <v>-1.3640639368039942E-08</v>
      </c>
      <c r="CZ80" s="51" t="s">
        <v>250</v>
      </c>
      <c r="DA80" s="54">
        <v>0.09587875051580157</v>
      </c>
      <c r="DB80" s="87">
        <f>IF(DB40=0,0,DB79/DB40)</f>
        <v>0.09673498542609937</v>
      </c>
      <c r="DC80" s="54" t="e">
        <f>IF(DC40=0,0,DC79/DC40)</f>
        <v>#REF!</v>
      </c>
      <c r="DD80" s="51" t="e">
        <f t="shared" si="187"/>
        <v>#REF!</v>
      </c>
      <c r="DE80" s="86" t="s">
        <v>250</v>
      </c>
    </row>
    <row r="81" spans="1:109" s="8" customFormat="1" ht="18.75" hidden="1">
      <c r="A81" s="98" t="s">
        <v>110</v>
      </c>
      <c r="B81" s="6" t="s">
        <v>5</v>
      </c>
      <c r="C81" s="6"/>
      <c r="D81" s="26"/>
      <c r="E81" s="26"/>
      <c r="F81" s="26"/>
      <c r="G81" s="26"/>
      <c r="H81" s="26"/>
      <c r="I81" s="26"/>
      <c r="J81" s="26"/>
      <c r="K81" s="26"/>
      <c r="L81" s="26"/>
      <c r="M81" s="17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91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151"/>
      <c r="BH81" s="151"/>
      <c r="BI81" s="151"/>
      <c r="BJ81" s="151"/>
      <c r="BK81" s="151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191"/>
      <c r="BZ81" s="26"/>
      <c r="CA81" s="26"/>
      <c r="CB81" s="26"/>
      <c r="CC81" s="26"/>
      <c r="CD81" s="26"/>
      <c r="CE81" s="26"/>
      <c r="CF81" s="26"/>
      <c r="CG81" s="26"/>
      <c r="CH81" s="177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81"/>
      <c r="DC81" s="26"/>
      <c r="DD81" s="26"/>
      <c r="DE81" s="82"/>
    </row>
    <row r="82" spans="1:109" ht="15.75" hidden="1">
      <c r="A82" s="98" t="s">
        <v>111</v>
      </c>
      <c r="B82" s="34" t="s">
        <v>112</v>
      </c>
      <c r="C82" s="10" t="s">
        <v>4</v>
      </c>
      <c r="D82" s="21"/>
      <c r="E82" s="21"/>
      <c r="F82" s="21"/>
      <c r="G82" s="21"/>
      <c r="H82" s="21"/>
      <c r="I82" s="21"/>
      <c r="J82" s="21"/>
      <c r="K82" s="52">
        <f t="shared" si="221"/>
        <v>0</v>
      </c>
      <c r="L82" s="109">
        <f t="shared" si="38"/>
        <v>0</v>
      </c>
      <c r="M82" s="17"/>
      <c r="N82" s="21"/>
      <c r="O82" s="21"/>
      <c r="P82" s="21"/>
      <c r="Q82" s="21"/>
      <c r="R82" s="21"/>
      <c r="S82" s="21"/>
      <c r="T82" s="52">
        <f aca="true" t="shared" si="232" ref="T82:T94">S82-R82</f>
        <v>0</v>
      </c>
      <c r="U82" s="109">
        <f>IF(R82=0,0,T82/R82)</f>
        <v>0</v>
      </c>
      <c r="V82" s="21"/>
      <c r="W82" s="21"/>
      <c r="X82" s="21"/>
      <c r="Y82" s="21"/>
      <c r="Z82" s="21"/>
      <c r="AA82" s="21"/>
      <c r="AB82" s="21"/>
      <c r="AC82" s="52">
        <f aca="true" t="shared" si="233" ref="AC82:AC94">AB82-AA82</f>
        <v>0</v>
      </c>
      <c r="AD82" s="109">
        <f>IF(AA82=0,0,AC82/AA82)</f>
        <v>0</v>
      </c>
      <c r="AE82" s="21"/>
      <c r="AF82" s="21"/>
      <c r="AG82" s="21"/>
      <c r="AH82" s="21"/>
      <c r="AI82" s="21"/>
      <c r="AJ82" s="21"/>
      <c r="AK82" s="21"/>
      <c r="AL82" s="52">
        <f aca="true" t="shared" si="234" ref="AL82:AL94">AK82-AJ82</f>
        <v>0</v>
      </c>
      <c r="AM82" s="109">
        <f>IF(AJ82=0,0,AL82/AJ82)</f>
        <v>0</v>
      </c>
      <c r="AN82" s="21"/>
      <c r="AO82" s="21"/>
      <c r="AP82" s="21"/>
      <c r="AQ82" s="21"/>
      <c r="AR82" s="21"/>
      <c r="AS82" s="21"/>
      <c r="AT82" s="21"/>
      <c r="AU82" s="52">
        <f aca="true" t="shared" si="235" ref="AU82:AU94">AT82-AS82</f>
        <v>0</v>
      </c>
      <c r="AV82" s="109">
        <f>IF(AS82=0,0,AU82/AS82)</f>
        <v>0</v>
      </c>
      <c r="AW82" s="21"/>
      <c r="AX82" s="21"/>
      <c r="AY82" s="21"/>
      <c r="AZ82" s="21"/>
      <c r="BA82" s="21"/>
      <c r="BB82" s="21"/>
      <c r="BC82" s="52">
        <f aca="true" t="shared" si="236" ref="BC82:BC94">BB82-BA82</f>
        <v>0</v>
      </c>
      <c r="BD82" s="109">
        <f>IF(BA82=0,0,BC82/BA82)</f>
        <v>0</v>
      </c>
      <c r="BE82" s="21"/>
      <c r="BF82" s="21"/>
      <c r="BG82" s="21"/>
      <c r="BH82" s="21"/>
      <c r="BI82" s="21"/>
      <c r="BJ82" s="21"/>
      <c r="BK82" s="52">
        <f aca="true" t="shared" si="237" ref="BK82:BK94">BJ82-BI82</f>
        <v>0</v>
      </c>
      <c r="BL82" s="109">
        <f>IF(BI82=0,0,BK82/BI82)</f>
        <v>0</v>
      </c>
      <c r="BM82" s="21"/>
      <c r="BN82" s="21"/>
      <c r="BO82" s="21"/>
      <c r="BP82" s="21"/>
      <c r="BQ82" s="21"/>
      <c r="BR82" s="21"/>
      <c r="BS82" s="52">
        <f aca="true" t="shared" si="238" ref="BS82:BS94">BR82-BQ82</f>
        <v>0</v>
      </c>
      <c r="BT82" s="109">
        <f>IF(BQ82=0,0,BS82/BQ82)</f>
        <v>0</v>
      </c>
      <c r="BU82" s="21"/>
      <c r="BV82" s="21"/>
      <c r="BW82" s="21"/>
      <c r="BX82" s="21"/>
      <c r="BY82" s="21"/>
      <c r="BZ82" s="21"/>
      <c r="CA82" s="52">
        <f aca="true" t="shared" si="239" ref="CA82:CA94">BZ82-BY82</f>
        <v>0</v>
      </c>
      <c r="CB82" s="109">
        <f>IF(BY82=0,0,CA82/BY82)</f>
        <v>0</v>
      </c>
      <c r="CC82" s="21"/>
      <c r="CD82" s="21"/>
      <c r="CE82" s="21"/>
      <c r="CF82" s="21"/>
      <c r="CG82" s="21"/>
      <c r="CH82" s="141"/>
      <c r="CI82" s="52">
        <f aca="true" t="shared" si="240" ref="CI82:CI94">CH82-CG82</f>
        <v>0</v>
      </c>
      <c r="CJ82" s="109">
        <f>IF(CG82=0,0,CI82/CG82)</f>
        <v>0</v>
      </c>
      <c r="CK82" s="21"/>
      <c r="CL82" s="21"/>
      <c r="CM82" s="21"/>
      <c r="CN82" s="21"/>
      <c r="CO82" s="21"/>
      <c r="CP82" s="21"/>
      <c r="CQ82" s="52">
        <f aca="true" t="shared" si="241" ref="CQ82:CQ94">CP82-CO82</f>
        <v>0</v>
      </c>
      <c r="CR82" s="109">
        <f>IF(CO82=0,0,CQ82/CO82)</f>
        <v>0</v>
      </c>
      <c r="CS82" s="21"/>
      <c r="CT82" s="21"/>
      <c r="CU82" s="21"/>
      <c r="CV82" s="21"/>
      <c r="CW82" s="21"/>
      <c r="CX82" s="21"/>
      <c r="CY82" s="52">
        <f aca="true" t="shared" si="242" ref="CY82:CY94">CX82-CW82</f>
        <v>0</v>
      </c>
      <c r="CZ82" s="109">
        <f>IF(CW82=0,0,CY82/CW82)</f>
        <v>0</v>
      </c>
      <c r="DA82" s="50" t="e">
        <f>J82+IF(#REF!&gt;=2,S82,0)+IF(#REF!&gt;=3,AB82,0)+IF(#REF!&gt;=4,AK82,0)+IF(#REF!&gt;=5,AT82,0)+IF(#REF!&gt;=6,BB82,0)+IF(#REF!&gt;=7,BJ82,0)+IF(#REF!&gt;=8,BR82,0)+IF(#REF!&gt;=9,BZ82,0)+IF(#REF!&gt;=10,CH82,0)+IF(#REF!&gt;=11,CP82,0)+IF(#REF!&gt;=12,CX82,0)</f>
        <v>#REF!</v>
      </c>
      <c r="DB82" s="84">
        <f>I82+R82+AA82+AJ82+AS82+BA82+BI82+BQ82+BY82+CG82+CO82+CW82</f>
        <v>0</v>
      </c>
      <c r="DC82" s="106" t="e">
        <f>IF(#REF!&gt;=1,J82,I82)+IF(#REF!&gt;=2,S82,R82)+IF(#REF!&gt;=3,AB82,AA82)+IF(#REF!&gt;=4,AK82,AJ82)+IF(#REF!&gt;=5,AT82,AS82)+IF(#REF!&gt;=6,BB82,BA82)+IF(#REF!&gt;=7,BJ82,BI82)+IF(#REF!&gt;=8,BR82,BQ82)+IF(#REF!&gt;=9,BZ82,BY82)+IF(#REF!&gt;=10,CH82,CG82)+IF(#REF!&gt;=11,CP82,CO82)+IF(#REF!&gt;=12,CX82,CW82)</f>
        <v>#REF!</v>
      </c>
      <c r="DD82" s="52" t="e">
        <f aca="true" t="shared" si="243" ref="DD82:DD94">DC82-DB82</f>
        <v>#REF!</v>
      </c>
      <c r="DE82" s="113">
        <f>IF(DB82=0,0,DD82/DB82)</f>
        <v>0</v>
      </c>
    </row>
    <row r="83" spans="1:109" ht="15.75" hidden="1">
      <c r="A83" s="98" t="s">
        <v>113</v>
      </c>
      <c r="B83" s="35" t="s">
        <v>34</v>
      </c>
      <c r="C83" s="10" t="s">
        <v>4</v>
      </c>
      <c r="D83" s="17"/>
      <c r="E83" s="17"/>
      <c r="F83" s="17"/>
      <c r="G83" s="17"/>
      <c r="H83" s="17"/>
      <c r="I83" s="17"/>
      <c r="J83" s="17"/>
      <c r="K83" s="52">
        <f t="shared" si="221"/>
        <v>0</v>
      </c>
      <c r="L83" s="109">
        <f t="shared" si="38"/>
        <v>0</v>
      </c>
      <c r="M83" s="52"/>
      <c r="N83" s="17"/>
      <c r="O83" s="17"/>
      <c r="P83" s="17"/>
      <c r="Q83" s="17"/>
      <c r="R83" s="17"/>
      <c r="S83" s="17"/>
      <c r="T83" s="52">
        <f t="shared" si="232"/>
        <v>0</v>
      </c>
      <c r="U83" s="109">
        <f>IF(R83=0,0,T83/R83)</f>
        <v>0</v>
      </c>
      <c r="V83" s="17"/>
      <c r="W83" s="17"/>
      <c r="X83" s="17"/>
      <c r="Y83" s="17"/>
      <c r="Z83" s="17"/>
      <c r="AA83" s="17"/>
      <c r="AB83" s="17"/>
      <c r="AC83" s="52">
        <f t="shared" si="233"/>
        <v>0</v>
      </c>
      <c r="AD83" s="109">
        <f>IF(AA83=0,0,AC83/AA83)</f>
        <v>0</v>
      </c>
      <c r="AE83" s="17"/>
      <c r="AF83" s="17"/>
      <c r="AG83" s="17"/>
      <c r="AH83" s="17"/>
      <c r="AI83" s="17"/>
      <c r="AJ83" s="17"/>
      <c r="AK83" s="17"/>
      <c r="AL83" s="52">
        <f t="shared" si="234"/>
        <v>0</v>
      </c>
      <c r="AM83" s="109">
        <f>IF(AJ83=0,0,AL83/AJ83)</f>
        <v>0</v>
      </c>
      <c r="AN83" s="17"/>
      <c r="AO83" s="17"/>
      <c r="AP83" s="17"/>
      <c r="AQ83" s="17"/>
      <c r="AR83" s="17"/>
      <c r="AS83" s="17"/>
      <c r="AT83" s="17"/>
      <c r="AU83" s="52">
        <f t="shared" si="235"/>
        <v>0</v>
      </c>
      <c r="AV83" s="109">
        <f>IF(AS83=0,0,AU83/AS83)</f>
        <v>0</v>
      </c>
      <c r="AW83" s="17"/>
      <c r="AX83" s="17"/>
      <c r="AY83" s="17"/>
      <c r="AZ83" s="17"/>
      <c r="BA83" s="17"/>
      <c r="BB83" s="17"/>
      <c r="BC83" s="52">
        <f t="shared" si="236"/>
        <v>0</v>
      </c>
      <c r="BD83" s="109">
        <f>IF(BA83=0,0,BC83/BA83)</f>
        <v>0</v>
      </c>
      <c r="BE83" s="17"/>
      <c r="BF83" s="17"/>
      <c r="BG83" s="17"/>
      <c r="BH83" s="17"/>
      <c r="BI83" s="17"/>
      <c r="BJ83" s="17"/>
      <c r="BK83" s="52">
        <f t="shared" si="237"/>
        <v>0</v>
      </c>
      <c r="BL83" s="109">
        <f>IF(BI83=0,0,BK83/BI83)</f>
        <v>0</v>
      </c>
      <c r="BM83" s="17"/>
      <c r="BN83" s="17"/>
      <c r="BO83" s="17"/>
      <c r="BP83" s="17"/>
      <c r="BQ83" s="17"/>
      <c r="BR83" s="17"/>
      <c r="BS83" s="52">
        <f t="shared" si="238"/>
        <v>0</v>
      </c>
      <c r="BT83" s="109">
        <f>IF(BQ83=0,0,BS83/BQ83)</f>
        <v>0</v>
      </c>
      <c r="BU83" s="17"/>
      <c r="BV83" s="17"/>
      <c r="BW83" s="17"/>
      <c r="BX83" s="17"/>
      <c r="BY83" s="17"/>
      <c r="BZ83" s="17"/>
      <c r="CA83" s="52">
        <f t="shared" si="239"/>
        <v>0</v>
      </c>
      <c r="CB83" s="109">
        <f>IF(BY83=0,0,CA83/BY83)</f>
        <v>0</v>
      </c>
      <c r="CC83" s="17"/>
      <c r="CD83" s="17"/>
      <c r="CE83" s="17"/>
      <c r="CF83" s="17"/>
      <c r="CG83" s="17"/>
      <c r="CH83" s="141"/>
      <c r="CI83" s="52">
        <f t="shared" si="240"/>
        <v>0</v>
      </c>
      <c r="CJ83" s="109">
        <f>IF(CG83=0,0,CI83/CG83)</f>
        <v>0</v>
      </c>
      <c r="CK83" s="17"/>
      <c r="CL83" s="17"/>
      <c r="CM83" s="17"/>
      <c r="CN83" s="17"/>
      <c r="CO83" s="17"/>
      <c r="CP83" s="17"/>
      <c r="CQ83" s="52">
        <f t="shared" si="241"/>
        <v>0</v>
      </c>
      <c r="CR83" s="109">
        <f>IF(CO83=0,0,CQ83/CO83)</f>
        <v>0</v>
      </c>
      <c r="CS83" s="17"/>
      <c r="CT83" s="17"/>
      <c r="CU83" s="17"/>
      <c r="CV83" s="17"/>
      <c r="CW83" s="17"/>
      <c r="CX83" s="17"/>
      <c r="CY83" s="52">
        <f t="shared" si="242"/>
        <v>0</v>
      </c>
      <c r="CZ83" s="109">
        <f>IF(CW83=0,0,CY83/CW83)</f>
        <v>0</v>
      </c>
      <c r="DA83" s="50" t="e">
        <f>J83+IF(#REF!&gt;=2,S83,0)+IF(#REF!&gt;=3,AB83,0)+IF(#REF!&gt;=4,AK83,0)+IF(#REF!&gt;=5,AT83,0)+IF(#REF!&gt;=6,BB83,0)+IF(#REF!&gt;=7,BJ83,0)+IF(#REF!&gt;=8,BR83,0)+IF(#REF!&gt;=9,BZ83,0)+IF(#REF!&gt;=10,CH83,0)+IF(#REF!&gt;=11,CP83,0)+IF(#REF!&gt;=12,CX83,0)</f>
        <v>#REF!</v>
      </c>
      <c r="DB83" s="84">
        <f>I83+R83+AA83+AJ83+AS83+BA83+BI83+BQ83+BY83+CG83+CO83+CW83</f>
        <v>0</v>
      </c>
      <c r="DC83" s="106" t="e">
        <f>IF(#REF!&gt;=1,J83,I83)+IF(#REF!&gt;=2,S83,R83)+IF(#REF!&gt;=3,AB83,AA83)+IF(#REF!&gt;=4,AK83,AJ83)+IF(#REF!&gt;=5,AT83,AS83)+IF(#REF!&gt;=6,BB83,BA83)+IF(#REF!&gt;=7,BJ83,BI83)+IF(#REF!&gt;=8,BR83,BQ83)+IF(#REF!&gt;=9,BZ83,BY83)+IF(#REF!&gt;=10,CH83,CG83)+IF(#REF!&gt;=11,CP83,CO83)+IF(#REF!&gt;=12,CX83,CW83)</f>
        <v>#REF!</v>
      </c>
      <c r="DD83" s="52" t="e">
        <f t="shared" si="243"/>
        <v>#REF!</v>
      </c>
      <c r="DE83" s="113">
        <f>IF(DB83=0,0,DD83/DB83)</f>
        <v>0</v>
      </c>
    </row>
    <row r="84" spans="1:109" ht="15.75" hidden="1">
      <c r="A84" s="98" t="s">
        <v>114</v>
      </c>
      <c r="B84" s="35" t="s">
        <v>115</v>
      </c>
      <c r="C84" s="10" t="s">
        <v>4</v>
      </c>
      <c r="D84" s="52">
        <f>D82-D83</f>
        <v>0</v>
      </c>
      <c r="E84" s="52">
        <f>E82-E83</f>
        <v>0</v>
      </c>
      <c r="F84" s="52"/>
      <c r="G84" s="52"/>
      <c r="H84" s="52"/>
      <c r="I84" s="52">
        <f>I82-I83</f>
        <v>0</v>
      </c>
      <c r="J84" s="52">
        <f>J82-J83</f>
        <v>0</v>
      </c>
      <c r="K84" s="52">
        <f t="shared" si="221"/>
        <v>0</v>
      </c>
      <c r="L84" s="109">
        <f t="shared" si="38"/>
        <v>0</v>
      </c>
      <c r="M84" s="17">
        <f>M82-M83</f>
        <v>0</v>
      </c>
      <c r="N84" s="52">
        <f>N82-N83</f>
        <v>0</v>
      </c>
      <c r="O84" s="52"/>
      <c r="P84" s="52"/>
      <c r="Q84" s="52"/>
      <c r="R84" s="52">
        <f>R82-R83</f>
        <v>0</v>
      </c>
      <c r="S84" s="52">
        <f>S82-S83</f>
        <v>0</v>
      </c>
      <c r="T84" s="52">
        <f t="shared" si="232"/>
        <v>0</v>
      </c>
      <c r="U84" s="109">
        <f>IF(R84=0,0,T84/R84)</f>
        <v>0</v>
      </c>
      <c r="V84" s="52">
        <f>V82-V83</f>
        <v>0</v>
      </c>
      <c r="W84" s="52">
        <f>W82-W83</f>
        <v>0</v>
      </c>
      <c r="X84" s="52"/>
      <c r="Y84" s="52"/>
      <c r="Z84" s="52"/>
      <c r="AA84" s="52">
        <f>AA82-AA83</f>
        <v>0</v>
      </c>
      <c r="AB84" s="52">
        <f>AB82-AB83</f>
        <v>0</v>
      </c>
      <c r="AC84" s="52">
        <f t="shared" si="233"/>
        <v>0</v>
      </c>
      <c r="AD84" s="109">
        <f>IF(AA84=0,0,AC84/AA84)</f>
        <v>0</v>
      </c>
      <c r="AE84" s="52">
        <f>AE82-AE83</f>
        <v>0</v>
      </c>
      <c r="AF84" s="52">
        <f>AF82-AF83</f>
        <v>0</v>
      </c>
      <c r="AG84" s="52"/>
      <c r="AH84" s="52"/>
      <c r="AI84" s="52"/>
      <c r="AJ84" s="52">
        <f>AJ82-AJ83</f>
        <v>0</v>
      </c>
      <c r="AK84" s="52">
        <f>AK82-AK83</f>
        <v>0</v>
      </c>
      <c r="AL84" s="52">
        <f t="shared" si="234"/>
        <v>0</v>
      </c>
      <c r="AM84" s="109">
        <f>IF(AJ84=0,0,AL84/AJ84)</f>
        <v>0</v>
      </c>
      <c r="AN84" s="52">
        <f>AN82-AN83</f>
        <v>0</v>
      </c>
      <c r="AO84" s="52">
        <f>AO82-AO83</f>
        <v>0</v>
      </c>
      <c r="AP84" s="52"/>
      <c r="AQ84" s="52"/>
      <c r="AR84" s="52"/>
      <c r="AS84" s="52">
        <f>AS82-AS83</f>
        <v>0</v>
      </c>
      <c r="AT84" s="52">
        <f>AT82-AT83</f>
        <v>0</v>
      </c>
      <c r="AU84" s="52">
        <f t="shared" si="235"/>
        <v>0</v>
      </c>
      <c r="AV84" s="109">
        <f>IF(AS84=0,0,AU84/AS84)</f>
        <v>0</v>
      </c>
      <c r="AW84" s="52">
        <f>AW82-AW83</f>
        <v>0</v>
      </c>
      <c r="AX84" s="52">
        <f>AX82-AX83</f>
        <v>0</v>
      </c>
      <c r="AY84" s="52"/>
      <c r="AZ84" s="52"/>
      <c r="BA84" s="52">
        <f>BA82-BA83</f>
        <v>0</v>
      </c>
      <c r="BB84" s="52">
        <f>BB82-BB83</f>
        <v>0</v>
      </c>
      <c r="BC84" s="52">
        <f t="shared" si="236"/>
        <v>0</v>
      </c>
      <c r="BD84" s="109">
        <f>IF(BA84=0,0,BC84/BA84)</f>
        <v>0</v>
      </c>
      <c r="BE84" s="52">
        <f>BE82-BE83</f>
        <v>0</v>
      </c>
      <c r="BF84" s="52"/>
      <c r="BG84" s="52">
        <f>BG82-BG83</f>
        <v>0</v>
      </c>
      <c r="BH84" s="52"/>
      <c r="BI84" s="52">
        <f>BI82-BI83</f>
        <v>0</v>
      </c>
      <c r="BJ84" s="52">
        <f>BJ82-BJ83</f>
        <v>0</v>
      </c>
      <c r="BK84" s="52">
        <f t="shared" si="237"/>
        <v>0</v>
      </c>
      <c r="BL84" s="109">
        <f>IF(BI84=0,0,BK84/BI84)</f>
        <v>0</v>
      </c>
      <c r="BM84" s="52">
        <f>BM82-BM83</f>
        <v>0</v>
      </c>
      <c r="BN84" s="52">
        <f>BN82-BN83</f>
        <v>0</v>
      </c>
      <c r="BO84" s="52"/>
      <c r="BP84" s="52"/>
      <c r="BQ84" s="52">
        <f>BQ82-BQ83</f>
        <v>0</v>
      </c>
      <c r="BR84" s="52">
        <f>BR82-BR83</f>
        <v>0</v>
      </c>
      <c r="BS84" s="52">
        <f t="shared" si="238"/>
        <v>0</v>
      </c>
      <c r="BT84" s="109">
        <f>IF(BQ84=0,0,BS84/BQ84)</f>
        <v>0</v>
      </c>
      <c r="BU84" s="52">
        <f>BU82-BU83</f>
        <v>0</v>
      </c>
      <c r="BV84" s="52">
        <f>BV82-BV83</f>
        <v>0</v>
      </c>
      <c r="BW84" s="52"/>
      <c r="BX84" s="52"/>
      <c r="BY84" s="52">
        <f>BY82-BY83</f>
        <v>0</v>
      </c>
      <c r="BZ84" s="52">
        <f>BZ82-BZ83</f>
        <v>0</v>
      </c>
      <c r="CA84" s="52">
        <f t="shared" si="239"/>
        <v>0</v>
      </c>
      <c r="CB84" s="109">
        <f>IF(BY84=0,0,CA84/BY84)</f>
        <v>0</v>
      </c>
      <c r="CC84" s="52">
        <f>CC82-CC83</f>
        <v>0</v>
      </c>
      <c r="CD84" s="52">
        <f>CD82-CD83</f>
        <v>0</v>
      </c>
      <c r="CE84" s="52"/>
      <c r="CF84" s="52"/>
      <c r="CG84" s="52">
        <f>CG82-CG83</f>
        <v>0</v>
      </c>
      <c r="CH84" s="152">
        <f>CH82-CH83</f>
        <v>0</v>
      </c>
      <c r="CI84" s="52">
        <f t="shared" si="240"/>
        <v>0</v>
      </c>
      <c r="CJ84" s="109">
        <f>IF(CG84=0,0,CI84/CG84)</f>
        <v>0</v>
      </c>
      <c r="CK84" s="52">
        <f>CK82-CK83</f>
        <v>0</v>
      </c>
      <c r="CL84" s="52">
        <f>CL82-CL83</f>
        <v>0</v>
      </c>
      <c r="CM84" s="52"/>
      <c r="CN84" s="52"/>
      <c r="CO84" s="52">
        <f>CO82-CO83</f>
        <v>0</v>
      </c>
      <c r="CP84" s="52">
        <f>CP82-CP83</f>
        <v>0</v>
      </c>
      <c r="CQ84" s="52">
        <f t="shared" si="241"/>
        <v>0</v>
      </c>
      <c r="CR84" s="109">
        <f>IF(CO84=0,0,CQ84/CO84)</f>
        <v>0</v>
      </c>
      <c r="CS84" s="52">
        <f>CS82-CS83</f>
        <v>0</v>
      </c>
      <c r="CT84" s="52">
        <f>CT82-CT83</f>
        <v>0</v>
      </c>
      <c r="CU84" s="52"/>
      <c r="CV84" s="52"/>
      <c r="CW84" s="52">
        <f>CW82-CW83</f>
        <v>0</v>
      </c>
      <c r="CX84" s="52">
        <f>CX82-CX83</f>
        <v>0</v>
      </c>
      <c r="CY84" s="52">
        <f t="shared" si="242"/>
        <v>0</v>
      </c>
      <c r="CZ84" s="109">
        <f>IF(CW84=0,0,CY84/CW84)</f>
        <v>0</v>
      </c>
      <c r="DA84" s="52" t="e">
        <f>DA82-DA83</f>
        <v>#REF!</v>
      </c>
      <c r="DB84" s="84">
        <f>DB82-DB83</f>
        <v>0</v>
      </c>
      <c r="DC84" s="52" t="e">
        <f>DC82-DC83</f>
        <v>#REF!</v>
      </c>
      <c r="DD84" s="52" t="e">
        <f t="shared" si="243"/>
        <v>#REF!</v>
      </c>
      <c r="DE84" s="113">
        <f>IF(DB84=0,0,DD84/DB84)</f>
        <v>0</v>
      </c>
    </row>
    <row r="85" spans="1:109" ht="15.75" hidden="1">
      <c r="A85" s="98" t="s">
        <v>116</v>
      </c>
      <c r="B85" s="220" t="s">
        <v>35</v>
      </c>
      <c r="C85" s="10" t="s">
        <v>4</v>
      </c>
      <c r="D85" s="52">
        <f>D86*D84</f>
        <v>0</v>
      </c>
      <c r="E85" s="52">
        <f>E86*E84</f>
        <v>0</v>
      </c>
      <c r="F85" s="52"/>
      <c r="G85" s="52"/>
      <c r="H85" s="52"/>
      <c r="I85" s="52">
        <f>I86*I84</f>
        <v>0</v>
      </c>
      <c r="J85" s="52">
        <f>J86*J84</f>
        <v>0</v>
      </c>
      <c r="K85" s="52">
        <f t="shared" si="221"/>
        <v>0</v>
      </c>
      <c r="L85" s="52" t="s">
        <v>250</v>
      </c>
      <c r="M85" s="17">
        <f>M86*M84</f>
        <v>0</v>
      </c>
      <c r="N85" s="52">
        <f>N86*N84</f>
        <v>0</v>
      </c>
      <c r="O85" s="52"/>
      <c r="P85" s="52"/>
      <c r="Q85" s="52"/>
      <c r="R85" s="52">
        <f>R86*R84</f>
        <v>0</v>
      </c>
      <c r="S85" s="52">
        <f>S86*S84</f>
        <v>0</v>
      </c>
      <c r="T85" s="52">
        <f t="shared" si="232"/>
        <v>0</v>
      </c>
      <c r="U85" s="52" t="s">
        <v>250</v>
      </c>
      <c r="V85" s="52">
        <f>V86*V84</f>
        <v>0</v>
      </c>
      <c r="W85" s="52">
        <f>W86*W84</f>
        <v>0</v>
      </c>
      <c r="X85" s="52"/>
      <c r="Y85" s="52"/>
      <c r="Z85" s="52"/>
      <c r="AA85" s="52">
        <f>AA86*AA84</f>
        <v>0</v>
      </c>
      <c r="AB85" s="52">
        <f>AB86*AB84</f>
        <v>0</v>
      </c>
      <c r="AC85" s="52">
        <f t="shared" si="233"/>
        <v>0</v>
      </c>
      <c r="AD85" s="52" t="s">
        <v>250</v>
      </c>
      <c r="AE85" s="52">
        <f>AE86*AE84</f>
        <v>0</v>
      </c>
      <c r="AF85" s="52">
        <f>AF86*AF84</f>
        <v>0</v>
      </c>
      <c r="AG85" s="52"/>
      <c r="AH85" s="52"/>
      <c r="AI85" s="52"/>
      <c r="AJ85" s="52">
        <f>AJ86*AJ84</f>
        <v>0</v>
      </c>
      <c r="AK85" s="52">
        <f>AK86*AK84</f>
        <v>0</v>
      </c>
      <c r="AL85" s="52">
        <f t="shared" si="234"/>
        <v>0</v>
      </c>
      <c r="AM85" s="52" t="s">
        <v>250</v>
      </c>
      <c r="AN85" s="52">
        <f>AN86*AN84</f>
        <v>0</v>
      </c>
      <c r="AO85" s="52">
        <f>AO86*AO84</f>
        <v>0</v>
      </c>
      <c r="AP85" s="52"/>
      <c r="AQ85" s="52"/>
      <c r="AR85" s="52"/>
      <c r="AS85" s="52">
        <f>AS86*AS84</f>
        <v>0</v>
      </c>
      <c r="AT85" s="52">
        <f>AT86*AT84</f>
        <v>0</v>
      </c>
      <c r="AU85" s="52">
        <f t="shared" si="235"/>
        <v>0</v>
      </c>
      <c r="AV85" s="52" t="s">
        <v>250</v>
      </c>
      <c r="AW85" s="52">
        <f>AW86*AW84</f>
        <v>0</v>
      </c>
      <c r="AX85" s="52">
        <f>AX86*AX84</f>
        <v>0</v>
      </c>
      <c r="AY85" s="52"/>
      <c r="AZ85" s="52"/>
      <c r="BA85" s="52">
        <f>BA86*BA84</f>
        <v>0</v>
      </c>
      <c r="BB85" s="52">
        <f>BB86*BB84</f>
        <v>0</v>
      </c>
      <c r="BC85" s="52">
        <f t="shared" si="236"/>
        <v>0</v>
      </c>
      <c r="BD85" s="52" t="s">
        <v>250</v>
      </c>
      <c r="BE85" s="52">
        <f>BE86*BE84</f>
        <v>0</v>
      </c>
      <c r="BF85" s="52"/>
      <c r="BG85" s="52">
        <f>BG86*BG84</f>
        <v>0</v>
      </c>
      <c r="BH85" s="52"/>
      <c r="BI85" s="52">
        <f>BI86*BI84</f>
        <v>0</v>
      </c>
      <c r="BJ85" s="52">
        <f>BJ86*BJ84</f>
        <v>0</v>
      </c>
      <c r="BK85" s="52">
        <f t="shared" si="237"/>
        <v>0</v>
      </c>
      <c r="BL85" s="52" t="s">
        <v>250</v>
      </c>
      <c r="BM85" s="52">
        <f>BM86*BM84</f>
        <v>0</v>
      </c>
      <c r="BN85" s="52">
        <f>BN86*BN84</f>
        <v>0</v>
      </c>
      <c r="BO85" s="52"/>
      <c r="BP85" s="52"/>
      <c r="BQ85" s="52">
        <f>BQ86*BQ84</f>
        <v>0</v>
      </c>
      <c r="BR85" s="52">
        <f>BR86*BR84</f>
        <v>0</v>
      </c>
      <c r="BS85" s="52">
        <f t="shared" si="238"/>
        <v>0</v>
      </c>
      <c r="BT85" s="52" t="s">
        <v>250</v>
      </c>
      <c r="BU85" s="52">
        <f>BU86*BU84</f>
        <v>0</v>
      </c>
      <c r="BV85" s="52">
        <f>BV86*BV84</f>
        <v>0</v>
      </c>
      <c r="BW85" s="52"/>
      <c r="BX85" s="52"/>
      <c r="BY85" s="52">
        <f>BY86*BY84</f>
        <v>0</v>
      </c>
      <c r="BZ85" s="52">
        <f>BZ86*BZ84</f>
        <v>0</v>
      </c>
      <c r="CA85" s="52">
        <f t="shared" si="239"/>
        <v>0</v>
      </c>
      <c r="CB85" s="52" t="s">
        <v>250</v>
      </c>
      <c r="CC85" s="52">
        <f>CC86*CC84</f>
        <v>0</v>
      </c>
      <c r="CD85" s="52">
        <f>CD86*CD84</f>
        <v>0</v>
      </c>
      <c r="CE85" s="52"/>
      <c r="CF85" s="52"/>
      <c r="CG85" s="52">
        <f>CG86*CG84</f>
        <v>0</v>
      </c>
      <c r="CH85" s="152">
        <f>CH86*CH84</f>
        <v>0</v>
      </c>
      <c r="CI85" s="52">
        <f t="shared" si="240"/>
        <v>0</v>
      </c>
      <c r="CJ85" s="52" t="s">
        <v>250</v>
      </c>
      <c r="CK85" s="52">
        <f>CK86*CK84</f>
        <v>0</v>
      </c>
      <c r="CL85" s="52">
        <f>CL86*CL84</f>
        <v>0</v>
      </c>
      <c r="CM85" s="52"/>
      <c r="CN85" s="52"/>
      <c r="CO85" s="52">
        <f>CO86*CO84</f>
        <v>0</v>
      </c>
      <c r="CP85" s="52">
        <f>CP86*CP84</f>
        <v>0</v>
      </c>
      <c r="CQ85" s="52">
        <f t="shared" si="241"/>
        <v>0</v>
      </c>
      <c r="CR85" s="52" t="s">
        <v>250</v>
      </c>
      <c r="CS85" s="52">
        <f>CS86*CS84</f>
        <v>0</v>
      </c>
      <c r="CT85" s="52">
        <f>CT86*CT84</f>
        <v>0</v>
      </c>
      <c r="CU85" s="52"/>
      <c r="CV85" s="52"/>
      <c r="CW85" s="52">
        <f>CW86*CW84</f>
        <v>0</v>
      </c>
      <c r="CX85" s="52">
        <f>CX86*CX84</f>
        <v>0</v>
      </c>
      <c r="CY85" s="52">
        <f t="shared" si="242"/>
        <v>0</v>
      </c>
      <c r="CZ85" s="52" t="s">
        <v>250</v>
      </c>
      <c r="DA85" s="50" t="e">
        <f>J85+IF(#REF!&gt;=2,S85,0)+IF(#REF!&gt;=3,AB85,0)+IF(#REF!&gt;=4,AK85,0)+IF(#REF!&gt;=5,AT85,0)+IF(#REF!&gt;=6,BB85,0)+IF(#REF!&gt;=7,BJ85,0)+IF(#REF!&gt;=8,BR85,0)+IF(#REF!&gt;=9,BZ85,0)+IF(#REF!&gt;=10,CH85,0)+IF(#REF!&gt;=11,CP85,0)+IF(#REF!&gt;=12,CX85,0)</f>
        <v>#REF!</v>
      </c>
      <c r="DB85" s="84">
        <f>I85+R85+AA85+AJ85+AS85+BA85+BI85+BQ85+BY85+CG85+CO85+CW85</f>
        <v>0</v>
      </c>
      <c r="DC85" s="106" t="e">
        <f>IF(#REF!&gt;=1,J85,I85)+IF(#REF!&gt;=2,S85,R85)+IF(#REF!&gt;=3,AB85,AA85)+IF(#REF!&gt;=4,AK85,AJ85)+IF(#REF!&gt;=5,AT85,AS85)+IF(#REF!&gt;=6,BB85,BA85)+IF(#REF!&gt;=7,BJ85,BI85)+IF(#REF!&gt;=8,BR85,BQ85)+IF(#REF!&gt;=9,BZ85,BY85)+IF(#REF!&gt;=10,CH85,CG85)+IF(#REF!&gt;=11,CP85,CO85)+IF(#REF!&gt;=12,CX85,CW85)</f>
        <v>#REF!</v>
      </c>
      <c r="DD85" s="52" t="e">
        <f t="shared" si="243"/>
        <v>#REF!</v>
      </c>
      <c r="DE85" s="83" t="s">
        <v>250</v>
      </c>
    </row>
    <row r="86" spans="1:109" ht="15.75" hidden="1">
      <c r="A86" s="98" t="s">
        <v>117</v>
      </c>
      <c r="B86" s="220"/>
      <c r="C86" s="10" t="s">
        <v>1</v>
      </c>
      <c r="D86" s="21"/>
      <c r="E86" s="21"/>
      <c r="F86" s="21"/>
      <c r="G86" s="21"/>
      <c r="H86" s="21"/>
      <c r="I86" s="21"/>
      <c r="J86" s="21"/>
      <c r="K86" s="51">
        <f t="shared" si="221"/>
        <v>0</v>
      </c>
      <c r="L86" s="51" t="s">
        <v>250</v>
      </c>
      <c r="M86" s="17"/>
      <c r="N86" s="21"/>
      <c r="O86" s="21"/>
      <c r="P86" s="21"/>
      <c r="Q86" s="21"/>
      <c r="R86" s="21"/>
      <c r="S86" s="21"/>
      <c r="T86" s="51">
        <f t="shared" si="232"/>
        <v>0</v>
      </c>
      <c r="U86" s="51" t="s">
        <v>250</v>
      </c>
      <c r="V86" s="21"/>
      <c r="W86" s="21"/>
      <c r="X86" s="21"/>
      <c r="Y86" s="21"/>
      <c r="Z86" s="21"/>
      <c r="AA86" s="21"/>
      <c r="AB86" s="21"/>
      <c r="AC86" s="51">
        <f t="shared" si="233"/>
        <v>0</v>
      </c>
      <c r="AD86" s="51" t="s">
        <v>250</v>
      </c>
      <c r="AE86" s="21"/>
      <c r="AF86" s="21"/>
      <c r="AG86" s="21"/>
      <c r="AH86" s="21"/>
      <c r="AI86" s="21"/>
      <c r="AJ86" s="21"/>
      <c r="AK86" s="21"/>
      <c r="AL86" s="51">
        <f t="shared" si="234"/>
        <v>0</v>
      </c>
      <c r="AM86" s="51" t="s">
        <v>250</v>
      </c>
      <c r="AN86" s="21"/>
      <c r="AO86" s="21"/>
      <c r="AP86" s="21"/>
      <c r="AQ86" s="21"/>
      <c r="AR86" s="21"/>
      <c r="AS86" s="21"/>
      <c r="AT86" s="21"/>
      <c r="AU86" s="51">
        <f t="shared" si="235"/>
        <v>0</v>
      </c>
      <c r="AV86" s="51" t="s">
        <v>250</v>
      </c>
      <c r="AW86" s="21"/>
      <c r="AX86" s="21"/>
      <c r="AY86" s="21"/>
      <c r="AZ86" s="21"/>
      <c r="BA86" s="21"/>
      <c r="BB86" s="21"/>
      <c r="BC86" s="51">
        <f t="shared" si="236"/>
        <v>0</v>
      </c>
      <c r="BD86" s="51" t="s">
        <v>250</v>
      </c>
      <c r="BE86" s="21"/>
      <c r="BF86" s="21"/>
      <c r="BG86" s="21"/>
      <c r="BH86" s="21"/>
      <c r="BI86" s="21"/>
      <c r="BJ86" s="21"/>
      <c r="BK86" s="51">
        <f t="shared" si="237"/>
        <v>0</v>
      </c>
      <c r="BL86" s="51" t="s">
        <v>250</v>
      </c>
      <c r="BM86" s="21"/>
      <c r="BN86" s="21"/>
      <c r="BO86" s="21"/>
      <c r="BP86" s="21"/>
      <c r="BQ86" s="21"/>
      <c r="BR86" s="21"/>
      <c r="BS86" s="51">
        <f t="shared" si="238"/>
        <v>0</v>
      </c>
      <c r="BT86" s="51" t="s">
        <v>250</v>
      </c>
      <c r="BU86" s="21"/>
      <c r="BV86" s="21"/>
      <c r="BW86" s="21"/>
      <c r="BX86" s="21"/>
      <c r="BY86" s="21"/>
      <c r="BZ86" s="21"/>
      <c r="CA86" s="51">
        <f t="shared" si="239"/>
        <v>0</v>
      </c>
      <c r="CB86" s="51" t="s">
        <v>250</v>
      </c>
      <c r="CC86" s="21"/>
      <c r="CD86" s="21"/>
      <c r="CE86" s="21"/>
      <c r="CF86" s="21"/>
      <c r="CG86" s="21"/>
      <c r="CH86" s="141"/>
      <c r="CI86" s="51">
        <f t="shared" si="240"/>
        <v>0</v>
      </c>
      <c r="CJ86" s="51" t="s">
        <v>250</v>
      </c>
      <c r="CK86" s="21"/>
      <c r="CL86" s="21"/>
      <c r="CM86" s="21"/>
      <c r="CN86" s="21"/>
      <c r="CO86" s="21"/>
      <c r="CP86" s="21"/>
      <c r="CQ86" s="51">
        <f t="shared" si="241"/>
        <v>0</v>
      </c>
      <c r="CR86" s="51" t="s">
        <v>250</v>
      </c>
      <c r="CS86" s="21"/>
      <c r="CT86" s="21"/>
      <c r="CU86" s="21"/>
      <c r="CV86" s="21"/>
      <c r="CW86" s="21"/>
      <c r="CX86" s="21"/>
      <c r="CY86" s="51">
        <f t="shared" si="242"/>
        <v>0</v>
      </c>
      <c r="CZ86" s="51" t="s">
        <v>250</v>
      </c>
      <c r="DA86" s="51" t="e">
        <f>IF(DA84=0,0,DA85/DA84)</f>
        <v>#REF!</v>
      </c>
      <c r="DB86" s="103">
        <f>IF(DB84=0,0,DB85/DB84)</f>
        <v>0</v>
      </c>
      <c r="DC86" s="51" t="e">
        <f>IF(DC84=0,0,DC85/DC84)</f>
        <v>#REF!</v>
      </c>
      <c r="DD86" s="51" t="e">
        <f t="shared" si="243"/>
        <v>#REF!</v>
      </c>
      <c r="DE86" s="86" t="s">
        <v>250</v>
      </c>
    </row>
    <row r="87" spans="1:109" ht="15.75" hidden="1">
      <c r="A87" s="98" t="s">
        <v>118</v>
      </c>
      <c r="B87" s="35" t="s">
        <v>38</v>
      </c>
      <c r="C87" s="10" t="s">
        <v>4</v>
      </c>
      <c r="D87" s="17"/>
      <c r="E87" s="17"/>
      <c r="F87" s="17"/>
      <c r="G87" s="17"/>
      <c r="H87" s="17"/>
      <c r="I87" s="17"/>
      <c r="J87" s="17"/>
      <c r="K87" s="52">
        <f t="shared" si="221"/>
        <v>0</v>
      </c>
      <c r="L87" s="109">
        <f t="shared" si="38"/>
        <v>0</v>
      </c>
      <c r="M87" s="17"/>
      <c r="N87" s="17"/>
      <c r="O87" s="17"/>
      <c r="P87" s="17"/>
      <c r="Q87" s="17"/>
      <c r="R87" s="17"/>
      <c r="S87" s="17"/>
      <c r="T87" s="52">
        <f t="shared" si="232"/>
        <v>0</v>
      </c>
      <c r="U87" s="109">
        <f>IF(R87=0,0,T87/R87)</f>
        <v>0</v>
      </c>
      <c r="V87" s="17"/>
      <c r="W87" s="17"/>
      <c r="X87" s="17"/>
      <c r="Y87" s="17"/>
      <c r="Z87" s="17"/>
      <c r="AA87" s="17"/>
      <c r="AB87" s="17"/>
      <c r="AC87" s="52">
        <f t="shared" si="233"/>
        <v>0</v>
      </c>
      <c r="AD87" s="109">
        <f>IF(AA87=0,0,AC87/AA87)</f>
        <v>0</v>
      </c>
      <c r="AE87" s="17"/>
      <c r="AF87" s="17"/>
      <c r="AG87" s="17"/>
      <c r="AH87" s="17"/>
      <c r="AI87" s="17"/>
      <c r="AJ87" s="17"/>
      <c r="AK87" s="17"/>
      <c r="AL87" s="52">
        <f t="shared" si="234"/>
        <v>0</v>
      </c>
      <c r="AM87" s="109">
        <f>IF(AJ87=0,0,AL87/AJ87)</f>
        <v>0</v>
      </c>
      <c r="AN87" s="17"/>
      <c r="AO87" s="17"/>
      <c r="AP87" s="17"/>
      <c r="AQ87" s="17"/>
      <c r="AR87" s="17"/>
      <c r="AS87" s="17"/>
      <c r="AT87" s="17"/>
      <c r="AU87" s="52">
        <f t="shared" si="235"/>
        <v>0</v>
      </c>
      <c r="AV87" s="109">
        <f>IF(AS87=0,0,AU87/AS87)</f>
        <v>0</v>
      </c>
      <c r="AW87" s="17"/>
      <c r="AX87" s="17"/>
      <c r="AY87" s="17"/>
      <c r="AZ87" s="17"/>
      <c r="BA87" s="17"/>
      <c r="BB87" s="17"/>
      <c r="BC87" s="52">
        <f t="shared" si="236"/>
        <v>0</v>
      </c>
      <c r="BD87" s="109">
        <f>IF(BA87=0,0,BC87/BA87)</f>
        <v>0</v>
      </c>
      <c r="BE87" s="17"/>
      <c r="BF87" s="17"/>
      <c r="BG87" s="17"/>
      <c r="BH87" s="17"/>
      <c r="BI87" s="17"/>
      <c r="BJ87" s="17"/>
      <c r="BK87" s="52">
        <f t="shared" si="237"/>
        <v>0</v>
      </c>
      <c r="BL87" s="109">
        <f>IF(BI87=0,0,BK87/BI87)</f>
        <v>0</v>
      </c>
      <c r="BM87" s="17"/>
      <c r="BN87" s="17"/>
      <c r="BO87" s="17"/>
      <c r="BP87" s="17"/>
      <c r="BQ87" s="17"/>
      <c r="BR87" s="17"/>
      <c r="BS87" s="52">
        <f t="shared" si="238"/>
        <v>0</v>
      </c>
      <c r="BT87" s="109">
        <f>IF(BQ87=0,0,BS87/BQ87)</f>
        <v>0</v>
      </c>
      <c r="BU87" s="17"/>
      <c r="BV87" s="17"/>
      <c r="BW87" s="17"/>
      <c r="BX87" s="17"/>
      <c r="BY87" s="17"/>
      <c r="BZ87" s="17"/>
      <c r="CA87" s="52">
        <f t="shared" si="239"/>
        <v>0</v>
      </c>
      <c r="CB87" s="109">
        <f>IF(BY87=0,0,CA87/BY87)</f>
        <v>0</v>
      </c>
      <c r="CC87" s="17"/>
      <c r="CD87" s="17"/>
      <c r="CE87" s="17"/>
      <c r="CF87" s="17"/>
      <c r="CG87" s="17"/>
      <c r="CH87" s="141"/>
      <c r="CI87" s="52">
        <f t="shared" si="240"/>
        <v>0</v>
      </c>
      <c r="CJ87" s="109">
        <f>IF(CG87=0,0,CI87/CG87)</f>
        <v>0</v>
      </c>
      <c r="CK87" s="17"/>
      <c r="CL87" s="17"/>
      <c r="CM87" s="17"/>
      <c r="CN87" s="17"/>
      <c r="CO87" s="17"/>
      <c r="CP87" s="17"/>
      <c r="CQ87" s="52">
        <f t="shared" si="241"/>
        <v>0</v>
      </c>
      <c r="CR87" s="109">
        <f>IF(CO87=0,0,CQ87/CO87)</f>
        <v>0</v>
      </c>
      <c r="CS87" s="17"/>
      <c r="CT87" s="17"/>
      <c r="CU87" s="17"/>
      <c r="CV87" s="17"/>
      <c r="CW87" s="17"/>
      <c r="CX87" s="17"/>
      <c r="CY87" s="52">
        <f t="shared" si="242"/>
        <v>0</v>
      </c>
      <c r="CZ87" s="109">
        <f>IF(CW87=0,0,CY87/CW87)</f>
        <v>0</v>
      </c>
      <c r="DA87" s="50" t="e">
        <f>J87+IF(#REF!&gt;=2,S87,0)+IF(#REF!&gt;=3,AB87,0)+IF(#REF!&gt;=4,AK87,0)+IF(#REF!&gt;=5,AT87,0)+IF(#REF!&gt;=6,BB87,0)+IF(#REF!&gt;=7,BJ87,0)+IF(#REF!&gt;=8,BR87,0)+IF(#REF!&gt;=9,BZ87,0)+IF(#REF!&gt;=10,CH87,0)+IF(#REF!&gt;=11,CP87,0)+IF(#REF!&gt;=12,CX87,0)</f>
        <v>#REF!</v>
      </c>
      <c r="DB87" s="84">
        <f>I87+R87+AA87+AJ87+AS87+BA87+BI87+BQ87+BY87+CG87+CO87+CW87</f>
        <v>0</v>
      </c>
      <c r="DC87" s="106" t="e">
        <f>IF(#REF!&gt;=1,J87,I87)+IF(#REF!&gt;=2,S87,R87)+IF(#REF!&gt;=3,AB87,AA87)+IF(#REF!&gt;=4,AK87,AJ87)+IF(#REF!&gt;=5,AT87,AS87)+IF(#REF!&gt;=6,BB87,BA87)+IF(#REF!&gt;=7,BJ87,BI87)+IF(#REF!&gt;=8,BR87,BQ87)+IF(#REF!&gt;=9,BZ87,BY87)+IF(#REF!&gt;=10,CH87,CG87)+IF(#REF!&gt;=11,CP87,CO87)+IF(#REF!&gt;=12,CX87,CW87)</f>
        <v>#REF!</v>
      </c>
      <c r="DD87" s="52" t="e">
        <f t="shared" si="243"/>
        <v>#REF!</v>
      </c>
      <c r="DE87" s="113">
        <f>IF(DB87=0,0,DD87/DB87)</f>
        <v>0</v>
      </c>
    </row>
    <row r="88" spans="1:109" ht="15.75" hidden="1">
      <c r="A88" s="98" t="s">
        <v>119</v>
      </c>
      <c r="B88" s="36" t="s">
        <v>39</v>
      </c>
      <c r="C88" s="10" t="s">
        <v>4</v>
      </c>
      <c r="D88" s="52">
        <f>D84-D85-D87</f>
        <v>0</v>
      </c>
      <c r="E88" s="52">
        <f>E84-E85-E87</f>
        <v>0</v>
      </c>
      <c r="F88" s="52"/>
      <c r="G88" s="52"/>
      <c r="H88" s="52"/>
      <c r="I88" s="52">
        <f>I84-I85-I87</f>
        <v>0</v>
      </c>
      <c r="J88" s="52">
        <f>J84-J85-J87</f>
        <v>0</v>
      </c>
      <c r="K88" s="52">
        <f t="shared" si="221"/>
        <v>0</v>
      </c>
      <c r="L88" s="109">
        <f t="shared" si="38"/>
        <v>0</v>
      </c>
      <c r="M88" s="17">
        <f>M84-M85-M87</f>
        <v>0</v>
      </c>
      <c r="N88" s="52">
        <f>N84-N85-N87</f>
        <v>0</v>
      </c>
      <c r="O88" s="52"/>
      <c r="P88" s="52"/>
      <c r="Q88" s="52"/>
      <c r="R88" s="52">
        <f>R84-R85-R87</f>
        <v>0</v>
      </c>
      <c r="S88" s="52">
        <f>S84-S85-S87</f>
        <v>0</v>
      </c>
      <c r="T88" s="52">
        <f t="shared" si="232"/>
        <v>0</v>
      </c>
      <c r="U88" s="109">
        <f>IF(R88=0,0,T88/R88)</f>
        <v>0</v>
      </c>
      <c r="V88" s="52">
        <f>V84-V85-V87</f>
        <v>0</v>
      </c>
      <c r="W88" s="52">
        <f>W84-W85-W87</f>
        <v>0</v>
      </c>
      <c r="X88" s="52"/>
      <c r="Y88" s="52"/>
      <c r="Z88" s="52"/>
      <c r="AA88" s="52">
        <f>AA84-AA85-AA87</f>
        <v>0</v>
      </c>
      <c r="AB88" s="52">
        <f>AB84-AB85-AB87</f>
        <v>0</v>
      </c>
      <c r="AC88" s="52">
        <f t="shared" si="233"/>
        <v>0</v>
      </c>
      <c r="AD88" s="109">
        <f>IF(AA88=0,0,AC88/AA88)</f>
        <v>0</v>
      </c>
      <c r="AE88" s="52">
        <f>AE84-AE85-AE87</f>
        <v>0</v>
      </c>
      <c r="AF88" s="52">
        <f>AF84-AF85-AF87</f>
        <v>0</v>
      </c>
      <c r="AG88" s="52"/>
      <c r="AH88" s="52"/>
      <c r="AI88" s="52"/>
      <c r="AJ88" s="52">
        <f>AJ84-AJ85-AJ87</f>
        <v>0</v>
      </c>
      <c r="AK88" s="52">
        <f>AK84-AK85-AK87</f>
        <v>0</v>
      </c>
      <c r="AL88" s="52">
        <f t="shared" si="234"/>
        <v>0</v>
      </c>
      <c r="AM88" s="109">
        <f>IF(AJ88=0,0,AL88/AJ88)</f>
        <v>0</v>
      </c>
      <c r="AN88" s="52">
        <f>AN84-AN85-AN87</f>
        <v>0</v>
      </c>
      <c r="AO88" s="52">
        <f>AO84-AO85-AO87</f>
        <v>0</v>
      </c>
      <c r="AP88" s="52"/>
      <c r="AQ88" s="52"/>
      <c r="AR88" s="52"/>
      <c r="AS88" s="52">
        <f>AS84-AS85-AS87</f>
        <v>0</v>
      </c>
      <c r="AT88" s="52">
        <f>AT84-AT85-AT87</f>
        <v>0</v>
      </c>
      <c r="AU88" s="52">
        <f t="shared" si="235"/>
        <v>0</v>
      </c>
      <c r="AV88" s="109">
        <f>IF(AS88=0,0,AU88/AS88)</f>
        <v>0</v>
      </c>
      <c r="AW88" s="52">
        <f>AW84-AW85-AW87</f>
        <v>0</v>
      </c>
      <c r="AX88" s="52">
        <f>AX84-AX85-AX87</f>
        <v>0</v>
      </c>
      <c r="AY88" s="52"/>
      <c r="AZ88" s="52"/>
      <c r="BA88" s="52">
        <f>BA84-BA85-BA87</f>
        <v>0</v>
      </c>
      <c r="BB88" s="52">
        <f>BB84-BB85-BB87</f>
        <v>0</v>
      </c>
      <c r="BC88" s="52">
        <f t="shared" si="236"/>
        <v>0</v>
      </c>
      <c r="BD88" s="109">
        <f>IF(BA88=0,0,BC88/BA88)</f>
        <v>0</v>
      </c>
      <c r="BE88" s="52">
        <f>BE84-BE85-BE87</f>
        <v>0</v>
      </c>
      <c r="BF88" s="52"/>
      <c r="BG88" s="52">
        <f>BG84-BG85-BG87</f>
        <v>0</v>
      </c>
      <c r="BH88" s="52"/>
      <c r="BI88" s="52">
        <f>BI84-BI85-BI87</f>
        <v>0</v>
      </c>
      <c r="BJ88" s="52">
        <f>BJ84-BJ85-BJ87</f>
        <v>0</v>
      </c>
      <c r="BK88" s="52">
        <f t="shared" si="237"/>
        <v>0</v>
      </c>
      <c r="BL88" s="109">
        <f>IF(BI88=0,0,BK88/BI88)</f>
        <v>0</v>
      </c>
      <c r="BM88" s="52">
        <f>BM84-BM85-BM87</f>
        <v>0</v>
      </c>
      <c r="BN88" s="52">
        <f>BN84-BN85-BN87</f>
        <v>0</v>
      </c>
      <c r="BO88" s="52"/>
      <c r="BP88" s="52"/>
      <c r="BQ88" s="52">
        <f>BQ84-BQ85-BQ87</f>
        <v>0</v>
      </c>
      <c r="BR88" s="52">
        <f>BR84-BR85-BR87</f>
        <v>0</v>
      </c>
      <c r="BS88" s="52">
        <f t="shared" si="238"/>
        <v>0</v>
      </c>
      <c r="BT88" s="109">
        <f>IF(BQ88=0,0,BS88/BQ88)</f>
        <v>0</v>
      </c>
      <c r="BU88" s="52">
        <f>BU84-BU85-BU87</f>
        <v>0</v>
      </c>
      <c r="BV88" s="52">
        <f>BV84-BV85-BV87</f>
        <v>0</v>
      </c>
      <c r="BW88" s="52"/>
      <c r="BX88" s="52"/>
      <c r="BY88" s="52">
        <f>BY84-BY85-BY87</f>
        <v>0</v>
      </c>
      <c r="BZ88" s="52">
        <f>BZ84-BZ85-BZ87</f>
        <v>0</v>
      </c>
      <c r="CA88" s="52">
        <f t="shared" si="239"/>
        <v>0</v>
      </c>
      <c r="CB88" s="109">
        <f>IF(BY88=0,0,CA88/BY88)</f>
        <v>0</v>
      </c>
      <c r="CC88" s="52">
        <f>CC84-CC85-CC87</f>
        <v>0</v>
      </c>
      <c r="CD88" s="52">
        <f>CD84-CD85-CD87</f>
        <v>0</v>
      </c>
      <c r="CE88" s="52"/>
      <c r="CF88" s="52"/>
      <c r="CG88" s="52">
        <f>CG84-CG85-CG87</f>
        <v>0</v>
      </c>
      <c r="CH88" s="152">
        <f>CH84-CH85-CH87</f>
        <v>0</v>
      </c>
      <c r="CI88" s="52">
        <f t="shared" si="240"/>
        <v>0</v>
      </c>
      <c r="CJ88" s="109">
        <f>IF(CG88=0,0,CI88/CG88)</f>
        <v>0</v>
      </c>
      <c r="CK88" s="52">
        <f>CK84-CK85-CK87</f>
        <v>0</v>
      </c>
      <c r="CL88" s="52">
        <f>CL84-CL85-CL87</f>
        <v>0</v>
      </c>
      <c r="CM88" s="52"/>
      <c r="CN88" s="52"/>
      <c r="CO88" s="52">
        <f>CO84-CO85-CO87</f>
        <v>0</v>
      </c>
      <c r="CP88" s="52">
        <f>CP84-CP85-CP87</f>
        <v>0</v>
      </c>
      <c r="CQ88" s="52">
        <f t="shared" si="241"/>
        <v>0</v>
      </c>
      <c r="CR88" s="109">
        <f>IF(CO88=0,0,CQ88/CO88)</f>
        <v>0</v>
      </c>
      <c r="CS88" s="52">
        <f>CS84-CS85-CS87</f>
        <v>0</v>
      </c>
      <c r="CT88" s="52">
        <f>CT84-CT85-CT87</f>
        <v>0</v>
      </c>
      <c r="CU88" s="52"/>
      <c r="CV88" s="52"/>
      <c r="CW88" s="52">
        <f>CW84-CW85-CW87</f>
        <v>0</v>
      </c>
      <c r="CX88" s="52">
        <f>CX84-CX85-CX87</f>
        <v>0</v>
      </c>
      <c r="CY88" s="52">
        <f t="shared" si="242"/>
        <v>0</v>
      </c>
      <c r="CZ88" s="109">
        <f>IF(CW88=0,0,CY88/CW88)</f>
        <v>0</v>
      </c>
      <c r="DA88" s="52" t="e">
        <f>DA84-DA85-DA87</f>
        <v>#REF!</v>
      </c>
      <c r="DB88" s="84">
        <f>DB84-DB85-DB87</f>
        <v>0</v>
      </c>
      <c r="DC88" s="52" t="e">
        <f>DC84-DC85-DC87</f>
        <v>#REF!</v>
      </c>
      <c r="DD88" s="52" t="e">
        <f t="shared" si="243"/>
        <v>#REF!</v>
      </c>
      <c r="DE88" s="113">
        <f>IF(DB88=0,0,DD88/DB88)</f>
        <v>0</v>
      </c>
    </row>
    <row r="89" spans="1:109" ht="15.75" hidden="1">
      <c r="A89" s="98" t="s">
        <v>120</v>
      </c>
      <c r="B89" s="220" t="s">
        <v>40</v>
      </c>
      <c r="C89" s="10" t="s">
        <v>4</v>
      </c>
      <c r="D89" s="52">
        <f>D88-D91</f>
        <v>0</v>
      </c>
      <c r="E89" s="52">
        <f>E88-E91</f>
        <v>0</v>
      </c>
      <c r="F89" s="52"/>
      <c r="G89" s="52"/>
      <c r="H89" s="52"/>
      <c r="I89" s="52">
        <f>I88-I91</f>
        <v>0</v>
      </c>
      <c r="J89" s="52">
        <f>J88-J91</f>
        <v>0</v>
      </c>
      <c r="K89" s="52">
        <f t="shared" si="221"/>
        <v>0</v>
      </c>
      <c r="L89" s="52" t="s">
        <v>250</v>
      </c>
      <c r="M89" s="52">
        <f>M88-M91</f>
        <v>0</v>
      </c>
      <c r="N89" s="52">
        <f>N88-N91</f>
        <v>0</v>
      </c>
      <c r="O89" s="52"/>
      <c r="P89" s="52"/>
      <c r="Q89" s="52"/>
      <c r="R89" s="52">
        <f>R88-R91</f>
        <v>0</v>
      </c>
      <c r="S89" s="52">
        <f>S88-S91</f>
        <v>0</v>
      </c>
      <c r="T89" s="52">
        <f t="shared" si="232"/>
        <v>0</v>
      </c>
      <c r="U89" s="52" t="s">
        <v>250</v>
      </c>
      <c r="V89" s="52">
        <f>V88-V91</f>
        <v>0</v>
      </c>
      <c r="W89" s="52">
        <f>W88-W91</f>
        <v>0</v>
      </c>
      <c r="X89" s="52"/>
      <c r="Y89" s="52"/>
      <c r="Z89" s="52"/>
      <c r="AA89" s="52">
        <f>AA88-AA91</f>
        <v>0</v>
      </c>
      <c r="AB89" s="52">
        <f>AB88-AB91</f>
        <v>0</v>
      </c>
      <c r="AC89" s="52">
        <f t="shared" si="233"/>
        <v>0</v>
      </c>
      <c r="AD89" s="52" t="s">
        <v>250</v>
      </c>
      <c r="AE89" s="52">
        <f>AE88-AE91</f>
        <v>0</v>
      </c>
      <c r="AF89" s="52">
        <f>AF88-AF91</f>
        <v>0</v>
      </c>
      <c r="AG89" s="52"/>
      <c r="AH89" s="52"/>
      <c r="AI89" s="52"/>
      <c r="AJ89" s="52">
        <f>AJ88-AJ91</f>
        <v>0</v>
      </c>
      <c r="AK89" s="52">
        <f>AK88-AK91</f>
        <v>0</v>
      </c>
      <c r="AL89" s="52">
        <f t="shared" si="234"/>
        <v>0</v>
      </c>
      <c r="AM89" s="52" t="s">
        <v>250</v>
      </c>
      <c r="AN89" s="52">
        <f>AN88-AN91</f>
        <v>0</v>
      </c>
      <c r="AO89" s="52">
        <f>AO88-AO91</f>
        <v>0</v>
      </c>
      <c r="AP89" s="52"/>
      <c r="AQ89" s="52"/>
      <c r="AR89" s="52"/>
      <c r="AS89" s="52">
        <f>AS88-AS91</f>
        <v>0</v>
      </c>
      <c r="AT89" s="52">
        <f>AT88-AT91</f>
        <v>0</v>
      </c>
      <c r="AU89" s="52">
        <f t="shared" si="235"/>
        <v>0</v>
      </c>
      <c r="AV89" s="52" t="s">
        <v>250</v>
      </c>
      <c r="AW89" s="52">
        <f>AW88-AW91</f>
        <v>0</v>
      </c>
      <c r="AX89" s="52">
        <f>AX88-AX91</f>
        <v>0</v>
      </c>
      <c r="AY89" s="52"/>
      <c r="AZ89" s="52"/>
      <c r="BA89" s="52">
        <f>BA88-BA91</f>
        <v>0</v>
      </c>
      <c r="BB89" s="52">
        <f>BB88-BB91</f>
        <v>0</v>
      </c>
      <c r="BC89" s="52">
        <f t="shared" si="236"/>
        <v>0</v>
      </c>
      <c r="BD89" s="52" t="s">
        <v>250</v>
      </c>
      <c r="BE89" s="52">
        <f>BE88-BE91</f>
        <v>0</v>
      </c>
      <c r="BF89" s="52"/>
      <c r="BG89" s="52">
        <f>BG88-BG91</f>
        <v>0</v>
      </c>
      <c r="BH89" s="52"/>
      <c r="BI89" s="52">
        <f>BI88-BI91</f>
        <v>0</v>
      </c>
      <c r="BJ89" s="52">
        <f>BJ88-BJ91</f>
        <v>0</v>
      </c>
      <c r="BK89" s="52">
        <f t="shared" si="237"/>
        <v>0</v>
      </c>
      <c r="BL89" s="52" t="s">
        <v>250</v>
      </c>
      <c r="BM89" s="52">
        <f>BM88-BM91</f>
        <v>0</v>
      </c>
      <c r="BN89" s="52">
        <f>BN88-BN91</f>
        <v>0</v>
      </c>
      <c r="BO89" s="52"/>
      <c r="BP89" s="52"/>
      <c r="BQ89" s="52">
        <f>BQ88-BQ91</f>
        <v>0</v>
      </c>
      <c r="BR89" s="52">
        <f>BR88-BR91</f>
        <v>0</v>
      </c>
      <c r="BS89" s="52">
        <f t="shared" si="238"/>
        <v>0</v>
      </c>
      <c r="BT89" s="52" t="s">
        <v>250</v>
      </c>
      <c r="BU89" s="52">
        <f>BU88-BU91</f>
        <v>0</v>
      </c>
      <c r="BV89" s="52">
        <f>BV88-BV91</f>
        <v>0</v>
      </c>
      <c r="BW89" s="52"/>
      <c r="BX89" s="52"/>
      <c r="BY89" s="52">
        <f>BY88-BY91</f>
        <v>0</v>
      </c>
      <c r="BZ89" s="52">
        <f>BZ88-BZ91</f>
        <v>0</v>
      </c>
      <c r="CA89" s="52">
        <f t="shared" si="239"/>
        <v>0</v>
      </c>
      <c r="CB89" s="52" t="s">
        <v>250</v>
      </c>
      <c r="CC89" s="52">
        <f>CC88-CC91</f>
        <v>0</v>
      </c>
      <c r="CD89" s="52">
        <f>CD88-CD91</f>
        <v>0</v>
      </c>
      <c r="CE89" s="52"/>
      <c r="CF89" s="52"/>
      <c r="CG89" s="52">
        <f>CG88-CG91</f>
        <v>0</v>
      </c>
      <c r="CH89" s="152">
        <f>CH88-CH91</f>
        <v>0</v>
      </c>
      <c r="CI89" s="52">
        <f t="shared" si="240"/>
        <v>0</v>
      </c>
      <c r="CJ89" s="52" t="s">
        <v>250</v>
      </c>
      <c r="CK89" s="52">
        <f>CK88-CK91</f>
        <v>0</v>
      </c>
      <c r="CL89" s="52">
        <f>CL88-CL91</f>
        <v>0</v>
      </c>
      <c r="CM89" s="52"/>
      <c r="CN89" s="52"/>
      <c r="CO89" s="52">
        <f>CO88-CO91</f>
        <v>0</v>
      </c>
      <c r="CP89" s="52">
        <f>CP88-CP91</f>
        <v>0</v>
      </c>
      <c r="CQ89" s="52">
        <f t="shared" si="241"/>
        <v>0</v>
      </c>
      <c r="CR89" s="52" t="s">
        <v>250</v>
      </c>
      <c r="CS89" s="52">
        <f>CS88-CS91</f>
        <v>0</v>
      </c>
      <c r="CT89" s="52">
        <f>CT88-CT91</f>
        <v>0</v>
      </c>
      <c r="CU89" s="52"/>
      <c r="CV89" s="52"/>
      <c r="CW89" s="52">
        <f>CW88-CW91</f>
        <v>0</v>
      </c>
      <c r="CX89" s="52">
        <f>CX88-CX91</f>
        <v>0</v>
      </c>
      <c r="CY89" s="52">
        <f t="shared" si="242"/>
        <v>0</v>
      </c>
      <c r="CZ89" s="52" t="s">
        <v>250</v>
      </c>
      <c r="DA89" s="52" t="e">
        <f>DA88-DA91</f>
        <v>#REF!</v>
      </c>
      <c r="DB89" s="84">
        <f>DB88-DB91</f>
        <v>0</v>
      </c>
      <c r="DC89" s="52" t="e">
        <f>DC88-DC91</f>
        <v>#REF!</v>
      </c>
      <c r="DD89" s="52" t="e">
        <f t="shared" si="243"/>
        <v>#REF!</v>
      </c>
      <c r="DE89" s="83" t="s">
        <v>250</v>
      </c>
    </row>
    <row r="90" spans="1:109" ht="15.75" hidden="1">
      <c r="A90" s="98" t="s">
        <v>121</v>
      </c>
      <c r="B90" s="220"/>
      <c r="C90" s="10" t="s">
        <v>1</v>
      </c>
      <c r="D90" s="51">
        <f>IF(D84=0,0,D89/D84)</f>
        <v>0</v>
      </c>
      <c r="E90" s="51">
        <f>IF(E84=0,0,E89/E84)</f>
        <v>0</v>
      </c>
      <c r="F90" s="51"/>
      <c r="G90" s="51"/>
      <c r="H90" s="51"/>
      <c r="I90" s="51">
        <f>IF(I84=0,0,I89/I84)</f>
        <v>0</v>
      </c>
      <c r="J90" s="51">
        <f>IF(J84=0,0,J89/J84)</f>
        <v>0</v>
      </c>
      <c r="K90" s="51">
        <f t="shared" si="221"/>
        <v>0</v>
      </c>
      <c r="L90" s="51" t="s">
        <v>250</v>
      </c>
      <c r="M90" s="21">
        <f>IF(M84=0,0,M89/M84)</f>
        <v>0</v>
      </c>
      <c r="N90" s="51">
        <f>IF(N84=0,0,N89/N84)</f>
        <v>0</v>
      </c>
      <c r="O90" s="51"/>
      <c r="P90" s="51"/>
      <c r="Q90" s="51"/>
      <c r="R90" s="51">
        <f>IF(R84=0,0,R89/R84)</f>
        <v>0</v>
      </c>
      <c r="S90" s="51">
        <f>IF(S84=0,0,S89/S84)</f>
        <v>0</v>
      </c>
      <c r="T90" s="51">
        <f t="shared" si="232"/>
        <v>0</v>
      </c>
      <c r="U90" s="51" t="s">
        <v>250</v>
      </c>
      <c r="V90" s="51">
        <f>IF(V84=0,0,V89/V84)</f>
        <v>0</v>
      </c>
      <c r="W90" s="51">
        <f>IF(W84=0,0,W89/W84)</f>
        <v>0</v>
      </c>
      <c r="X90" s="51"/>
      <c r="Y90" s="51"/>
      <c r="Z90" s="51"/>
      <c r="AA90" s="51">
        <f>IF(AA84=0,0,AA89/AA84)</f>
        <v>0</v>
      </c>
      <c r="AB90" s="51">
        <f>IF(AB84=0,0,AB89/AB84)</f>
        <v>0</v>
      </c>
      <c r="AC90" s="51">
        <f t="shared" si="233"/>
        <v>0</v>
      </c>
      <c r="AD90" s="51" t="s">
        <v>250</v>
      </c>
      <c r="AE90" s="51">
        <f>IF(AE84=0,0,AE89/AE84)</f>
        <v>0</v>
      </c>
      <c r="AF90" s="51">
        <f>IF(AF84=0,0,AF89/AF84)</f>
        <v>0</v>
      </c>
      <c r="AG90" s="51"/>
      <c r="AH90" s="51"/>
      <c r="AI90" s="51"/>
      <c r="AJ90" s="51">
        <f>IF(AJ84=0,0,AJ89/AJ84)</f>
        <v>0</v>
      </c>
      <c r="AK90" s="51">
        <f>IF(AK84=0,0,AK89/AK84)</f>
        <v>0</v>
      </c>
      <c r="AL90" s="51">
        <f t="shared" si="234"/>
        <v>0</v>
      </c>
      <c r="AM90" s="51" t="s">
        <v>250</v>
      </c>
      <c r="AN90" s="51">
        <f>IF(AN84=0,0,AN89/AN84)</f>
        <v>0</v>
      </c>
      <c r="AO90" s="51">
        <f>IF(AO84=0,0,AO89/AO84)</f>
        <v>0</v>
      </c>
      <c r="AP90" s="51"/>
      <c r="AQ90" s="51"/>
      <c r="AR90" s="51"/>
      <c r="AS90" s="51">
        <f>IF(AS84=0,0,AS89/AS84)</f>
        <v>0</v>
      </c>
      <c r="AT90" s="51">
        <f>IF(AT84=0,0,AT89/AT84)</f>
        <v>0</v>
      </c>
      <c r="AU90" s="51">
        <f t="shared" si="235"/>
        <v>0</v>
      </c>
      <c r="AV90" s="51" t="s">
        <v>250</v>
      </c>
      <c r="AW90" s="51">
        <f>IF(AW84=0,0,AW89/AW84)</f>
        <v>0</v>
      </c>
      <c r="AX90" s="51">
        <f>IF(AX84=0,0,AX89/AX84)</f>
        <v>0</v>
      </c>
      <c r="AY90" s="51"/>
      <c r="AZ90" s="51"/>
      <c r="BA90" s="51">
        <f>IF(BA84=0,0,BA89/BA84)</f>
        <v>0</v>
      </c>
      <c r="BB90" s="51">
        <f>IF(BB84=0,0,BB89/BB84)</f>
        <v>0</v>
      </c>
      <c r="BC90" s="51">
        <f t="shared" si="236"/>
        <v>0</v>
      </c>
      <c r="BD90" s="51" t="s">
        <v>250</v>
      </c>
      <c r="BE90" s="51">
        <f>IF(BE84=0,0,BE89/BE84)</f>
        <v>0</v>
      </c>
      <c r="BF90" s="51"/>
      <c r="BG90" s="51">
        <f>IF(BG84=0,0,BG89/BG84)</f>
        <v>0</v>
      </c>
      <c r="BH90" s="51"/>
      <c r="BI90" s="51">
        <f>IF(BI84=0,0,BI89/BI84)</f>
        <v>0</v>
      </c>
      <c r="BJ90" s="51">
        <f>IF(BJ84=0,0,BJ89/BJ84)</f>
        <v>0</v>
      </c>
      <c r="BK90" s="51">
        <f t="shared" si="237"/>
        <v>0</v>
      </c>
      <c r="BL90" s="51" t="s">
        <v>250</v>
      </c>
      <c r="BM90" s="51">
        <f>IF(BM84=0,0,BM89/BM84)</f>
        <v>0</v>
      </c>
      <c r="BN90" s="51">
        <f>IF(BN84=0,0,BN89/BN84)</f>
        <v>0</v>
      </c>
      <c r="BO90" s="51"/>
      <c r="BP90" s="51"/>
      <c r="BQ90" s="51">
        <f>IF(BQ84=0,0,BQ89/BQ84)</f>
        <v>0</v>
      </c>
      <c r="BR90" s="51">
        <f>IF(BR84=0,0,BR89/BR84)</f>
        <v>0</v>
      </c>
      <c r="BS90" s="51">
        <f t="shared" si="238"/>
        <v>0</v>
      </c>
      <c r="BT90" s="51" t="s">
        <v>250</v>
      </c>
      <c r="BU90" s="51">
        <f>IF(BU84=0,0,BU89/BU84)</f>
        <v>0</v>
      </c>
      <c r="BV90" s="51">
        <f>IF(BV84=0,0,BV89/BV84)</f>
        <v>0</v>
      </c>
      <c r="BW90" s="51"/>
      <c r="BX90" s="51"/>
      <c r="BY90" s="51">
        <f>IF(BY84=0,0,BY89/BY84)</f>
        <v>0</v>
      </c>
      <c r="BZ90" s="51">
        <f>IF(BZ84=0,0,BZ89/BZ84)</f>
        <v>0</v>
      </c>
      <c r="CA90" s="51">
        <f t="shared" si="239"/>
        <v>0</v>
      </c>
      <c r="CB90" s="51" t="s">
        <v>250</v>
      </c>
      <c r="CC90" s="51">
        <f>IF(CC84=0,0,CC89/CC84)</f>
        <v>0</v>
      </c>
      <c r="CD90" s="51">
        <f>IF(CD84=0,0,CD89/CD84)</f>
        <v>0</v>
      </c>
      <c r="CE90" s="51"/>
      <c r="CF90" s="51"/>
      <c r="CG90" s="51">
        <f>IF(CG84=0,0,CG89/CG84)</f>
        <v>0</v>
      </c>
      <c r="CH90" s="152">
        <f>IF(CH84=0,0,CH89/CH84)</f>
        <v>0</v>
      </c>
      <c r="CI90" s="51">
        <f t="shared" si="240"/>
        <v>0</v>
      </c>
      <c r="CJ90" s="51" t="s">
        <v>250</v>
      </c>
      <c r="CK90" s="51">
        <f>IF(CK84=0,0,CK89/CK84)</f>
        <v>0</v>
      </c>
      <c r="CL90" s="51">
        <f>IF(CL84=0,0,CL89/CL84)</f>
        <v>0</v>
      </c>
      <c r="CM90" s="51"/>
      <c r="CN90" s="51"/>
      <c r="CO90" s="51">
        <f>IF(CO84=0,0,CO89/CO84)</f>
        <v>0</v>
      </c>
      <c r="CP90" s="51">
        <f>IF(CP84=0,0,CP89/CP84)</f>
        <v>0</v>
      </c>
      <c r="CQ90" s="51">
        <f t="shared" si="241"/>
        <v>0</v>
      </c>
      <c r="CR90" s="51" t="s">
        <v>250</v>
      </c>
      <c r="CS90" s="51">
        <f>IF(CS84=0,0,CS89/CS84)</f>
        <v>0</v>
      </c>
      <c r="CT90" s="51">
        <f>IF(CT84=0,0,CT89/CT84)</f>
        <v>0</v>
      </c>
      <c r="CU90" s="51"/>
      <c r="CV90" s="51"/>
      <c r="CW90" s="51">
        <f>IF(CW84=0,0,CW89/CW84)</f>
        <v>0</v>
      </c>
      <c r="CX90" s="51">
        <f>IF(CX84=0,0,CX89/CX84)</f>
        <v>0</v>
      </c>
      <c r="CY90" s="51">
        <f t="shared" si="242"/>
        <v>0</v>
      </c>
      <c r="CZ90" s="51" t="s">
        <v>250</v>
      </c>
      <c r="DA90" s="51" t="e">
        <f>IF(DA84=0,0,DA89/DA84)</f>
        <v>#REF!</v>
      </c>
      <c r="DB90" s="85">
        <f>IF(DB84=0,0,DB89/DB84)</f>
        <v>0</v>
      </c>
      <c r="DC90" s="51" t="e">
        <f>IF(DC84=0,0,DC89/DC84)</f>
        <v>#REF!</v>
      </c>
      <c r="DD90" s="51" t="e">
        <f t="shared" si="243"/>
        <v>#REF!</v>
      </c>
      <c r="DE90" s="86" t="s">
        <v>250</v>
      </c>
    </row>
    <row r="91" spans="1:109" ht="15.75" hidden="1">
      <c r="A91" s="98" t="s">
        <v>122</v>
      </c>
      <c r="B91" s="35" t="s">
        <v>42</v>
      </c>
      <c r="C91" s="10" t="s">
        <v>4</v>
      </c>
      <c r="D91" s="52">
        <f>D92+D93+D94</f>
        <v>0</v>
      </c>
      <c r="E91" s="52">
        <f>E92+E93+E94</f>
        <v>0</v>
      </c>
      <c r="F91" s="52"/>
      <c r="G91" s="52"/>
      <c r="H91" s="52"/>
      <c r="I91" s="52">
        <f>I92+I93+I94</f>
        <v>0</v>
      </c>
      <c r="J91" s="52">
        <f>J92+J93+J94</f>
        <v>0</v>
      </c>
      <c r="K91" s="52">
        <f t="shared" si="221"/>
        <v>0</v>
      </c>
      <c r="L91" s="109">
        <f t="shared" si="38"/>
        <v>0</v>
      </c>
      <c r="M91" s="117">
        <f>M92+M93+M94</f>
        <v>0</v>
      </c>
      <c r="N91" s="52">
        <f>N92+N93+N94</f>
        <v>0</v>
      </c>
      <c r="O91" s="52"/>
      <c r="P91" s="52"/>
      <c r="Q91" s="52"/>
      <c r="R91" s="52">
        <f>R92+R93+R94</f>
        <v>0</v>
      </c>
      <c r="S91" s="52">
        <f>S92+S93+S94</f>
        <v>0</v>
      </c>
      <c r="T91" s="52">
        <f t="shared" si="232"/>
        <v>0</v>
      </c>
      <c r="U91" s="109">
        <f>IF(R91=0,0,T91/R91)</f>
        <v>0</v>
      </c>
      <c r="V91" s="52">
        <f>V92+V93+V94</f>
        <v>0</v>
      </c>
      <c r="W91" s="52">
        <f>W92+W93+W94</f>
        <v>0</v>
      </c>
      <c r="X91" s="52"/>
      <c r="Y91" s="52"/>
      <c r="Z91" s="52"/>
      <c r="AA91" s="52">
        <f>AA92+AA93+AA94</f>
        <v>0</v>
      </c>
      <c r="AB91" s="52">
        <f>AB92+AB93+AB94</f>
        <v>0</v>
      </c>
      <c r="AC91" s="52">
        <f t="shared" si="233"/>
        <v>0</v>
      </c>
      <c r="AD91" s="109">
        <f>IF(AA91=0,0,AC91/AA91)</f>
        <v>0</v>
      </c>
      <c r="AE91" s="52">
        <f>AE92+AE93+AE94</f>
        <v>0</v>
      </c>
      <c r="AF91" s="52">
        <f>AF92+AF93+AF94</f>
        <v>0</v>
      </c>
      <c r="AG91" s="52"/>
      <c r="AH91" s="52"/>
      <c r="AI91" s="52"/>
      <c r="AJ91" s="52">
        <f>AJ92+AJ93+AJ94</f>
        <v>0</v>
      </c>
      <c r="AK91" s="52">
        <f>AK92+AK93+AK94</f>
        <v>0</v>
      </c>
      <c r="AL91" s="52">
        <f t="shared" si="234"/>
        <v>0</v>
      </c>
      <c r="AM91" s="109">
        <f>IF(AJ91=0,0,AL91/AJ91)</f>
        <v>0</v>
      </c>
      <c r="AN91" s="52">
        <f>AN92+AN93+AN94</f>
        <v>0</v>
      </c>
      <c r="AO91" s="52">
        <f>AO92+AO93+AO94</f>
        <v>0</v>
      </c>
      <c r="AP91" s="52"/>
      <c r="AQ91" s="52"/>
      <c r="AR91" s="52"/>
      <c r="AS91" s="52">
        <f>AS92+AS93+AS94</f>
        <v>0</v>
      </c>
      <c r="AT91" s="52">
        <f>AT92+AT93+AT94</f>
        <v>0</v>
      </c>
      <c r="AU91" s="52">
        <f t="shared" si="235"/>
        <v>0</v>
      </c>
      <c r="AV91" s="109">
        <f>IF(AS91=0,0,AU91/AS91)</f>
        <v>0</v>
      </c>
      <c r="AW91" s="52">
        <f>AW92+AW93+AW94</f>
        <v>0</v>
      </c>
      <c r="AX91" s="52">
        <f>AX92+AX93+AX94</f>
        <v>0</v>
      </c>
      <c r="AY91" s="52"/>
      <c r="AZ91" s="52"/>
      <c r="BA91" s="52">
        <f>BA92+BA93+BA94</f>
        <v>0</v>
      </c>
      <c r="BB91" s="52">
        <f>BB92+BB93+BB94</f>
        <v>0</v>
      </c>
      <c r="BC91" s="52">
        <f t="shared" si="236"/>
        <v>0</v>
      </c>
      <c r="BD91" s="109">
        <f>IF(BA91=0,0,BC91/BA91)</f>
        <v>0</v>
      </c>
      <c r="BE91" s="52">
        <f>BE92+BE93+BE94</f>
        <v>0</v>
      </c>
      <c r="BF91" s="52"/>
      <c r="BG91" s="52">
        <f>BG92+BG93+BG94</f>
        <v>0</v>
      </c>
      <c r="BH91" s="52"/>
      <c r="BI91" s="52">
        <f>BI92+BI93+BI94</f>
        <v>0</v>
      </c>
      <c r="BJ91" s="52">
        <f>BJ92+BJ93+BJ94</f>
        <v>0</v>
      </c>
      <c r="BK91" s="52">
        <f t="shared" si="237"/>
        <v>0</v>
      </c>
      <c r="BL91" s="109">
        <f>IF(BI91=0,0,BK91/BI91)</f>
        <v>0</v>
      </c>
      <c r="BM91" s="52">
        <f>BM92+BM93+BM94</f>
        <v>0</v>
      </c>
      <c r="BN91" s="52">
        <f>BN92+BN93+BN94</f>
        <v>0</v>
      </c>
      <c r="BO91" s="52"/>
      <c r="BP91" s="52"/>
      <c r="BQ91" s="52">
        <f>BQ92+BQ93+BQ94</f>
        <v>0</v>
      </c>
      <c r="BR91" s="52">
        <f>BR92+BR93+BR94</f>
        <v>0</v>
      </c>
      <c r="BS91" s="52">
        <f t="shared" si="238"/>
        <v>0</v>
      </c>
      <c r="BT91" s="109">
        <f>IF(BQ91=0,0,BS91/BQ91)</f>
        <v>0</v>
      </c>
      <c r="BU91" s="52">
        <f>BU92+BU93+BU94</f>
        <v>0</v>
      </c>
      <c r="BV91" s="52">
        <f>BV92+BV93+BV94</f>
        <v>0</v>
      </c>
      <c r="BW91" s="52"/>
      <c r="BX91" s="52"/>
      <c r="BY91" s="52">
        <f>BY92+BY93+BY94</f>
        <v>0</v>
      </c>
      <c r="BZ91" s="52">
        <f>BZ92+BZ93+BZ94</f>
        <v>0</v>
      </c>
      <c r="CA91" s="52">
        <f t="shared" si="239"/>
        <v>0</v>
      </c>
      <c r="CB91" s="109">
        <f>IF(BY91=0,0,CA91/BY91)</f>
        <v>0</v>
      </c>
      <c r="CC91" s="52">
        <f>CC92+CC93+CC94</f>
        <v>0</v>
      </c>
      <c r="CD91" s="52">
        <f>CD92+CD93+CD94</f>
        <v>0</v>
      </c>
      <c r="CE91" s="52"/>
      <c r="CF91" s="52"/>
      <c r="CG91" s="52">
        <f>CG92+CG93+CG94</f>
        <v>0</v>
      </c>
      <c r="CH91" s="152">
        <f>CH92+CH93+CH94</f>
        <v>0</v>
      </c>
      <c r="CI91" s="52">
        <f t="shared" si="240"/>
        <v>0</v>
      </c>
      <c r="CJ91" s="109">
        <f>IF(CG91=0,0,CI91/CG91)</f>
        <v>0</v>
      </c>
      <c r="CK91" s="52">
        <f>CK92+CK93+CK94</f>
        <v>0</v>
      </c>
      <c r="CL91" s="52">
        <f>CL92+CL93+CL94</f>
        <v>0</v>
      </c>
      <c r="CM91" s="52"/>
      <c r="CN91" s="52"/>
      <c r="CO91" s="52">
        <f>CO92+CO93+CO94</f>
        <v>0</v>
      </c>
      <c r="CP91" s="52">
        <f>CP92+CP93+CP94</f>
        <v>0</v>
      </c>
      <c r="CQ91" s="52">
        <f t="shared" si="241"/>
        <v>0</v>
      </c>
      <c r="CR91" s="109">
        <f>IF(CO91=0,0,CQ91/CO91)</f>
        <v>0</v>
      </c>
      <c r="CS91" s="52">
        <f>CS92+CS93+CS94</f>
        <v>0</v>
      </c>
      <c r="CT91" s="52">
        <f>CT92+CT93+CT94</f>
        <v>0</v>
      </c>
      <c r="CU91" s="52"/>
      <c r="CV91" s="52"/>
      <c r="CW91" s="52">
        <f>CW92+CW93+CW94</f>
        <v>0</v>
      </c>
      <c r="CX91" s="52">
        <f>CX92+CX93+CX94</f>
        <v>0</v>
      </c>
      <c r="CY91" s="52">
        <f t="shared" si="242"/>
        <v>0</v>
      </c>
      <c r="CZ91" s="109">
        <f>IF(CW91=0,0,CY91/CW91)</f>
        <v>0</v>
      </c>
      <c r="DA91" s="52" t="e">
        <f>DA92+DA93+DA94</f>
        <v>#REF!</v>
      </c>
      <c r="DB91" s="84">
        <f>DB92+DB93+DB94</f>
        <v>0</v>
      </c>
      <c r="DC91" s="52" t="e">
        <f>DC92+DC93+DC94</f>
        <v>#REF!</v>
      </c>
      <c r="DD91" s="52" t="e">
        <f t="shared" si="243"/>
        <v>#REF!</v>
      </c>
      <c r="DE91" s="113">
        <f>IF(DB91=0,0,DD91/DB91)</f>
        <v>0</v>
      </c>
    </row>
    <row r="92" spans="1:109" ht="15.75" hidden="1">
      <c r="A92" s="98" t="s">
        <v>123</v>
      </c>
      <c r="B92" s="35" t="s">
        <v>124</v>
      </c>
      <c r="C92" s="10" t="s">
        <v>4</v>
      </c>
      <c r="D92" s="17"/>
      <c r="E92" s="17"/>
      <c r="F92" s="17"/>
      <c r="G92" s="17"/>
      <c r="H92" s="17"/>
      <c r="I92" s="17"/>
      <c r="J92" s="17"/>
      <c r="K92" s="52">
        <f t="shared" si="221"/>
        <v>0</v>
      </c>
      <c r="L92" s="109">
        <f t="shared" si="38"/>
        <v>0</v>
      </c>
      <c r="M92" s="52"/>
      <c r="N92" s="17"/>
      <c r="O92" s="17"/>
      <c r="P92" s="17"/>
      <c r="Q92" s="17"/>
      <c r="R92" s="17"/>
      <c r="S92" s="17"/>
      <c r="T92" s="52">
        <f t="shared" si="232"/>
        <v>0</v>
      </c>
      <c r="U92" s="109">
        <f>IF(R92=0,0,T92/R92)</f>
        <v>0</v>
      </c>
      <c r="V92" s="17"/>
      <c r="W92" s="17"/>
      <c r="X92" s="17"/>
      <c r="Y92" s="17"/>
      <c r="Z92" s="17"/>
      <c r="AA92" s="17"/>
      <c r="AB92" s="17"/>
      <c r="AC92" s="52">
        <f t="shared" si="233"/>
        <v>0</v>
      </c>
      <c r="AD92" s="109">
        <f>IF(AA92=0,0,AC92/AA92)</f>
        <v>0</v>
      </c>
      <c r="AE92" s="17"/>
      <c r="AF92" s="17"/>
      <c r="AG92" s="17"/>
      <c r="AH92" s="17"/>
      <c r="AI92" s="17"/>
      <c r="AJ92" s="17"/>
      <c r="AK92" s="17"/>
      <c r="AL92" s="52">
        <f t="shared" si="234"/>
        <v>0</v>
      </c>
      <c r="AM92" s="109">
        <f>IF(AJ92=0,0,AL92/AJ92)</f>
        <v>0</v>
      </c>
      <c r="AN92" s="17"/>
      <c r="AO92" s="17"/>
      <c r="AP92" s="17"/>
      <c r="AQ92" s="17"/>
      <c r="AR92" s="17"/>
      <c r="AS92" s="17"/>
      <c r="AT92" s="17"/>
      <c r="AU92" s="52">
        <f t="shared" si="235"/>
        <v>0</v>
      </c>
      <c r="AV92" s="109">
        <f>IF(AS92=0,0,AU92/AS92)</f>
        <v>0</v>
      </c>
      <c r="AW92" s="17"/>
      <c r="AX92" s="17"/>
      <c r="AY92" s="17"/>
      <c r="AZ92" s="17"/>
      <c r="BA92" s="17"/>
      <c r="BB92" s="17"/>
      <c r="BC92" s="52">
        <f t="shared" si="236"/>
        <v>0</v>
      </c>
      <c r="BD92" s="109">
        <f>IF(BA92=0,0,BC92/BA92)</f>
        <v>0</v>
      </c>
      <c r="BE92" s="17"/>
      <c r="BF92" s="17"/>
      <c r="BG92" s="17"/>
      <c r="BH92" s="17"/>
      <c r="BI92" s="17"/>
      <c r="BJ92" s="17"/>
      <c r="BK92" s="52">
        <f t="shared" si="237"/>
        <v>0</v>
      </c>
      <c r="BL92" s="109">
        <f>IF(BI92=0,0,BK92/BI92)</f>
        <v>0</v>
      </c>
      <c r="BM92" s="17"/>
      <c r="BN92" s="17"/>
      <c r="BO92" s="17"/>
      <c r="BP92" s="17"/>
      <c r="BQ92" s="17"/>
      <c r="BR92" s="17"/>
      <c r="BS92" s="52">
        <f t="shared" si="238"/>
        <v>0</v>
      </c>
      <c r="BT92" s="109">
        <f>IF(BQ92=0,0,BS92/BQ92)</f>
        <v>0</v>
      </c>
      <c r="BU92" s="17"/>
      <c r="BV92" s="17"/>
      <c r="BW92" s="17"/>
      <c r="BX92" s="17"/>
      <c r="BY92" s="17"/>
      <c r="BZ92" s="17"/>
      <c r="CA92" s="52">
        <f t="shared" si="239"/>
        <v>0</v>
      </c>
      <c r="CB92" s="109">
        <f>IF(BY92=0,0,CA92/BY92)</f>
        <v>0</v>
      </c>
      <c r="CC92" s="17"/>
      <c r="CD92" s="17"/>
      <c r="CE92" s="17"/>
      <c r="CF92" s="17"/>
      <c r="CG92" s="17"/>
      <c r="CH92" s="141"/>
      <c r="CI92" s="52">
        <f t="shared" si="240"/>
        <v>0</v>
      </c>
      <c r="CJ92" s="109">
        <f>IF(CG92=0,0,CI92/CG92)</f>
        <v>0</v>
      </c>
      <c r="CK92" s="17"/>
      <c r="CL92" s="17"/>
      <c r="CM92" s="17"/>
      <c r="CN92" s="17"/>
      <c r="CO92" s="17"/>
      <c r="CP92" s="17"/>
      <c r="CQ92" s="52">
        <f t="shared" si="241"/>
        <v>0</v>
      </c>
      <c r="CR92" s="109">
        <f>IF(CO92=0,0,CQ92/CO92)</f>
        <v>0</v>
      </c>
      <c r="CS92" s="17"/>
      <c r="CT92" s="17"/>
      <c r="CU92" s="17"/>
      <c r="CV92" s="17"/>
      <c r="CW92" s="17"/>
      <c r="CX92" s="17"/>
      <c r="CY92" s="52">
        <f t="shared" si="242"/>
        <v>0</v>
      </c>
      <c r="CZ92" s="109">
        <f>IF(CW92=0,0,CY92/CW92)</f>
        <v>0</v>
      </c>
      <c r="DA92" s="50" t="e">
        <f>J92+IF(#REF!&gt;=2,S92,0)+IF(#REF!&gt;=3,AB92,0)+IF(#REF!&gt;=4,AK92,0)+IF(#REF!&gt;=5,AT92,0)+IF(#REF!&gt;=6,BB92,0)+IF(#REF!&gt;=7,BJ92,0)+IF(#REF!&gt;=8,BR92,0)+IF(#REF!&gt;=9,BZ92,0)+IF(#REF!&gt;=10,CH92,0)+IF(#REF!&gt;=11,CP92,0)+IF(#REF!&gt;=12,CX92,0)</f>
        <v>#REF!</v>
      </c>
      <c r="DB92" s="84">
        <f>I92+R92+AA92+AJ92+AS92+BA92+BI92+BQ92+BY92+CG92+CO92+CW92</f>
        <v>0</v>
      </c>
      <c r="DC92" s="106" t="e">
        <f>IF(#REF!&gt;=1,J92,I92)+IF(#REF!&gt;=2,S92,R92)+IF(#REF!&gt;=3,AB92,AA92)+IF(#REF!&gt;=4,AK92,AJ92)+IF(#REF!&gt;=5,AT92,AS92)+IF(#REF!&gt;=6,BB92,BA92)+IF(#REF!&gt;=7,BJ92,BI92)+IF(#REF!&gt;=8,BR92,BQ92)+IF(#REF!&gt;=9,BZ92,BY92)+IF(#REF!&gt;=10,CH92,CG92)+IF(#REF!&gt;=11,CP92,CO92)+IF(#REF!&gt;=12,CX92,CW92)</f>
        <v>#REF!</v>
      </c>
      <c r="DD92" s="52" t="e">
        <f t="shared" si="243"/>
        <v>#REF!</v>
      </c>
      <c r="DE92" s="113">
        <f>IF(DB92=0,0,DD92/DB92)</f>
        <v>0</v>
      </c>
    </row>
    <row r="93" spans="1:109" ht="15.75" hidden="1">
      <c r="A93" s="98" t="s">
        <v>125</v>
      </c>
      <c r="B93" s="35" t="s">
        <v>126</v>
      </c>
      <c r="C93" s="10"/>
      <c r="D93" s="17"/>
      <c r="E93" s="17"/>
      <c r="F93" s="17"/>
      <c r="G93" s="17"/>
      <c r="H93" s="17"/>
      <c r="I93" s="17"/>
      <c r="J93" s="17"/>
      <c r="K93" s="52">
        <f t="shared" si="221"/>
        <v>0</v>
      </c>
      <c r="L93" s="109">
        <f t="shared" si="38"/>
        <v>0</v>
      </c>
      <c r="M93" s="52"/>
      <c r="N93" s="17"/>
      <c r="O93" s="17"/>
      <c r="P93" s="17"/>
      <c r="Q93" s="17"/>
      <c r="R93" s="17"/>
      <c r="S93" s="17"/>
      <c r="T93" s="52">
        <f t="shared" si="232"/>
        <v>0</v>
      </c>
      <c r="U93" s="109">
        <f>IF(R93=0,0,T93/R93)</f>
        <v>0</v>
      </c>
      <c r="V93" s="17"/>
      <c r="W93" s="17"/>
      <c r="X93" s="17"/>
      <c r="Y93" s="17"/>
      <c r="Z93" s="17"/>
      <c r="AA93" s="17"/>
      <c r="AB93" s="17"/>
      <c r="AC93" s="52">
        <f t="shared" si="233"/>
        <v>0</v>
      </c>
      <c r="AD93" s="109">
        <f>IF(AA93=0,0,AC93/AA93)</f>
        <v>0</v>
      </c>
      <c r="AE93" s="17"/>
      <c r="AF93" s="17"/>
      <c r="AG93" s="17"/>
      <c r="AH93" s="17"/>
      <c r="AI93" s="17"/>
      <c r="AJ93" s="17"/>
      <c r="AK93" s="17"/>
      <c r="AL93" s="52">
        <f t="shared" si="234"/>
        <v>0</v>
      </c>
      <c r="AM93" s="109">
        <f>IF(AJ93=0,0,AL93/AJ93)</f>
        <v>0</v>
      </c>
      <c r="AN93" s="17"/>
      <c r="AO93" s="17"/>
      <c r="AP93" s="17"/>
      <c r="AQ93" s="17"/>
      <c r="AR93" s="17"/>
      <c r="AS93" s="17"/>
      <c r="AT93" s="17"/>
      <c r="AU93" s="52">
        <f t="shared" si="235"/>
        <v>0</v>
      </c>
      <c r="AV93" s="109">
        <f>IF(AS93=0,0,AU93/AS93)</f>
        <v>0</v>
      </c>
      <c r="AW93" s="17"/>
      <c r="AX93" s="17"/>
      <c r="AY93" s="17"/>
      <c r="AZ93" s="17"/>
      <c r="BA93" s="17"/>
      <c r="BB93" s="17"/>
      <c r="BC93" s="52">
        <f t="shared" si="236"/>
        <v>0</v>
      </c>
      <c r="BD93" s="109">
        <f>IF(BA93=0,0,BC93/BA93)</f>
        <v>0</v>
      </c>
      <c r="BE93" s="17"/>
      <c r="BF93" s="17"/>
      <c r="BG93" s="17"/>
      <c r="BH93" s="17"/>
      <c r="BI93" s="17"/>
      <c r="BJ93" s="17"/>
      <c r="BK93" s="52">
        <f t="shared" si="237"/>
        <v>0</v>
      </c>
      <c r="BL93" s="109">
        <f>IF(BI93=0,0,BK93/BI93)</f>
        <v>0</v>
      </c>
      <c r="BM93" s="17"/>
      <c r="BN93" s="17"/>
      <c r="BO93" s="17"/>
      <c r="BP93" s="17"/>
      <c r="BQ93" s="17"/>
      <c r="BR93" s="17"/>
      <c r="BS93" s="52">
        <f t="shared" si="238"/>
        <v>0</v>
      </c>
      <c r="BT93" s="109">
        <f>IF(BQ93=0,0,BS93/BQ93)</f>
        <v>0</v>
      </c>
      <c r="BU93" s="17"/>
      <c r="BV93" s="17"/>
      <c r="BW93" s="17"/>
      <c r="BX93" s="17"/>
      <c r="BY93" s="17"/>
      <c r="BZ93" s="17"/>
      <c r="CA93" s="52">
        <f t="shared" si="239"/>
        <v>0</v>
      </c>
      <c r="CB93" s="109">
        <f>IF(BY93=0,0,CA93/BY93)</f>
        <v>0</v>
      </c>
      <c r="CC93" s="17"/>
      <c r="CD93" s="17"/>
      <c r="CE93" s="17"/>
      <c r="CF93" s="17"/>
      <c r="CG93" s="17"/>
      <c r="CH93" s="141"/>
      <c r="CI93" s="52">
        <f t="shared" si="240"/>
        <v>0</v>
      </c>
      <c r="CJ93" s="109">
        <f>IF(CG93=0,0,CI93/CG93)</f>
        <v>0</v>
      </c>
      <c r="CK93" s="17"/>
      <c r="CL93" s="17"/>
      <c r="CM93" s="17"/>
      <c r="CN93" s="17"/>
      <c r="CO93" s="17"/>
      <c r="CP93" s="17"/>
      <c r="CQ93" s="52">
        <f t="shared" si="241"/>
        <v>0</v>
      </c>
      <c r="CR93" s="109">
        <f>IF(CO93=0,0,CQ93/CO93)</f>
        <v>0</v>
      </c>
      <c r="CS93" s="17"/>
      <c r="CT93" s="17"/>
      <c r="CU93" s="17"/>
      <c r="CV93" s="17"/>
      <c r="CW93" s="17"/>
      <c r="CX93" s="17"/>
      <c r="CY93" s="52">
        <f t="shared" si="242"/>
        <v>0</v>
      </c>
      <c r="CZ93" s="109">
        <f>IF(CW93=0,0,CY93/CW93)</f>
        <v>0</v>
      </c>
      <c r="DA93" s="50" t="e">
        <f>J93+IF(#REF!&gt;=2,S93,0)+IF(#REF!&gt;=3,AB93,0)+IF(#REF!&gt;=4,AK93,0)+IF(#REF!&gt;=5,AT93,0)+IF(#REF!&gt;=6,BB93,0)+IF(#REF!&gt;=7,BJ93,0)+IF(#REF!&gt;=8,BR93,0)+IF(#REF!&gt;=9,BZ93,0)+IF(#REF!&gt;=10,CH93,0)+IF(#REF!&gt;=11,CP93,0)+IF(#REF!&gt;=12,CX93,0)</f>
        <v>#REF!</v>
      </c>
      <c r="DB93" s="84">
        <f>I93+R93+AA93+AJ93+AS93+BA93+BI93+BQ93+BY93+CG93+CO93+CW93</f>
        <v>0</v>
      </c>
      <c r="DC93" s="106" t="e">
        <f>IF(#REF!&gt;=1,J93,I93)+IF(#REF!&gt;=2,S93,R93)+IF(#REF!&gt;=3,AB93,AA93)+IF(#REF!&gt;=4,AK93,AJ93)+IF(#REF!&gt;=5,AT93,AS93)+IF(#REF!&gt;=6,BB93,BA93)+IF(#REF!&gt;=7,BJ93,BI93)+IF(#REF!&gt;=8,BR93,BQ93)+IF(#REF!&gt;=9,BZ93,BY93)+IF(#REF!&gt;=10,CH93,CG93)+IF(#REF!&gt;=11,CP93,CO93)+IF(#REF!&gt;=12,CX93,CW93)</f>
        <v>#REF!</v>
      </c>
      <c r="DD93" s="52" t="e">
        <f t="shared" si="243"/>
        <v>#REF!</v>
      </c>
      <c r="DE93" s="113">
        <f>IF(DB93=0,0,DD93/DB93)</f>
        <v>0</v>
      </c>
    </row>
    <row r="94" spans="1:109" ht="15.75" hidden="1">
      <c r="A94" s="98" t="s">
        <v>127</v>
      </c>
      <c r="B94" s="35" t="s">
        <v>46</v>
      </c>
      <c r="C94" s="10" t="s">
        <v>4</v>
      </c>
      <c r="D94" s="21"/>
      <c r="E94" s="21"/>
      <c r="F94" s="21"/>
      <c r="G94" s="21"/>
      <c r="H94" s="21"/>
      <c r="I94" s="21"/>
      <c r="J94" s="21"/>
      <c r="K94" s="52">
        <f t="shared" si="221"/>
        <v>0</v>
      </c>
      <c r="L94" s="109">
        <f t="shared" si="38"/>
        <v>0</v>
      </c>
      <c r="M94" s="51"/>
      <c r="N94" s="21"/>
      <c r="O94" s="21"/>
      <c r="P94" s="21"/>
      <c r="Q94" s="21"/>
      <c r="R94" s="21"/>
      <c r="S94" s="21"/>
      <c r="T94" s="52">
        <f t="shared" si="232"/>
        <v>0</v>
      </c>
      <c r="U94" s="109">
        <f>IF(R94=0,0,T94/R94)</f>
        <v>0</v>
      </c>
      <c r="V94" s="21"/>
      <c r="W94" s="21"/>
      <c r="X94" s="21"/>
      <c r="Y94" s="21"/>
      <c r="Z94" s="21"/>
      <c r="AA94" s="21"/>
      <c r="AB94" s="21"/>
      <c r="AC94" s="52">
        <f t="shared" si="233"/>
        <v>0</v>
      </c>
      <c r="AD94" s="109">
        <f>IF(AA94=0,0,AC94/AA94)</f>
        <v>0</v>
      </c>
      <c r="AE94" s="21"/>
      <c r="AF94" s="21"/>
      <c r="AG94" s="21"/>
      <c r="AH94" s="21"/>
      <c r="AI94" s="21"/>
      <c r="AJ94" s="21"/>
      <c r="AK94" s="21"/>
      <c r="AL94" s="52">
        <f t="shared" si="234"/>
        <v>0</v>
      </c>
      <c r="AM94" s="109">
        <f>IF(AJ94=0,0,AL94/AJ94)</f>
        <v>0</v>
      </c>
      <c r="AN94" s="21"/>
      <c r="AO94" s="21"/>
      <c r="AP94" s="21"/>
      <c r="AQ94" s="21"/>
      <c r="AR94" s="21"/>
      <c r="AS94" s="21"/>
      <c r="AT94" s="21"/>
      <c r="AU94" s="52">
        <f t="shared" si="235"/>
        <v>0</v>
      </c>
      <c r="AV94" s="109">
        <f>IF(AS94=0,0,AU94/AS94)</f>
        <v>0</v>
      </c>
      <c r="AW94" s="21"/>
      <c r="AX94" s="21"/>
      <c r="AY94" s="21"/>
      <c r="AZ94" s="21"/>
      <c r="BA94" s="21"/>
      <c r="BB94" s="21"/>
      <c r="BC94" s="52">
        <f t="shared" si="236"/>
        <v>0</v>
      </c>
      <c r="BD94" s="109">
        <f>IF(BA94=0,0,BC94/BA94)</f>
        <v>0</v>
      </c>
      <c r="BE94" s="21"/>
      <c r="BF94" s="21"/>
      <c r="BG94" s="21"/>
      <c r="BH94" s="21"/>
      <c r="BI94" s="21"/>
      <c r="BJ94" s="21"/>
      <c r="BK94" s="52">
        <f t="shared" si="237"/>
        <v>0</v>
      </c>
      <c r="BL94" s="109">
        <f>IF(BI94=0,0,BK94/BI94)</f>
        <v>0</v>
      </c>
      <c r="BM94" s="21"/>
      <c r="BN94" s="21"/>
      <c r="BO94" s="21"/>
      <c r="BP94" s="21"/>
      <c r="BQ94" s="21"/>
      <c r="BR94" s="21"/>
      <c r="BS94" s="52">
        <f t="shared" si="238"/>
        <v>0</v>
      </c>
      <c r="BT94" s="109">
        <f>IF(BQ94=0,0,BS94/BQ94)</f>
        <v>0</v>
      </c>
      <c r="BU94" s="21"/>
      <c r="BV94" s="21"/>
      <c r="BW94" s="21"/>
      <c r="BX94" s="21"/>
      <c r="BY94" s="21"/>
      <c r="BZ94" s="21"/>
      <c r="CA94" s="52">
        <f t="shared" si="239"/>
        <v>0</v>
      </c>
      <c r="CB94" s="109">
        <f>IF(BY94=0,0,CA94/BY94)</f>
        <v>0</v>
      </c>
      <c r="CC94" s="21"/>
      <c r="CD94" s="21"/>
      <c r="CE94" s="21"/>
      <c r="CF94" s="21"/>
      <c r="CG94" s="21"/>
      <c r="CH94" s="141"/>
      <c r="CI94" s="52">
        <f t="shared" si="240"/>
        <v>0</v>
      </c>
      <c r="CJ94" s="109">
        <f>IF(CG94=0,0,CI94/CG94)</f>
        <v>0</v>
      </c>
      <c r="CK94" s="21"/>
      <c r="CL94" s="21"/>
      <c r="CM94" s="21"/>
      <c r="CN94" s="21"/>
      <c r="CO94" s="21"/>
      <c r="CP94" s="21"/>
      <c r="CQ94" s="52">
        <f t="shared" si="241"/>
        <v>0</v>
      </c>
      <c r="CR94" s="109">
        <f>IF(CO94=0,0,CQ94/CO94)</f>
        <v>0</v>
      </c>
      <c r="CS94" s="21"/>
      <c r="CT94" s="21"/>
      <c r="CU94" s="21"/>
      <c r="CV94" s="21"/>
      <c r="CW94" s="21"/>
      <c r="CX94" s="21"/>
      <c r="CY94" s="52">
        <f t="shared" si="242"/>
        <v>0</v>
      </c>
      <c r="CZ94" s="109">
        <f>IF(CW94=0,0,CY94/CW94)</f>
        <v>0</v>
      </c>
      <c r="DA94" s="50" t="e">
        <f>J94+IF(#REF!&gt;=2,S94,0)+IF(#REF!&gt;=3,AB94,0)+IF(#REF!&gt;=4,AK94,0)+IF(#REF!&gt;=5,AT94,0)+IF(#REF!&gt;=6,BB94,0)+IF(#REF!&gt;=7,BJ94,0)+IF(#REF!&gt;=8,BR94,0)+IF(#REF!&gt;=9,BZ94,0)+IF(#REF!&gt;=10,CH94,0)+IF(#REF!&gt;=11,CP94,0)+IF(#REF!&gt;=12,CX94,0)</f>
        <v>#REF!</v>
      </c>
      <c r="DB94" s="84">
        <f>I94+R94+AA94+AJ94+AS94+BA94+BI94+BQ94+BY94+CG94+CO94+CW94</f>
        <v>0</v>
      </c>
      <c r="DC94" s="106" t="e">
        <f>IF(#REF!&gt;=1,J94,I94)+IF(#REF!&gt;=2,S94,R94)+IF(#REF!&gt;=3,AB94,AA94)+IF(#REF!&gt;=4,AK94,AJ94)+IF(#REF!&gt;=5,AT94,AS94)+IF(#REF!&gt;=6,BB94,BA94)+IF(#REF!&gt;=7,BJ94,BI94)+IF(#REF!&gt;=8,BR94,BQ94)+IF(#REF!&gt;=9,BZ94,BY94)+IF(#REF!&gt;=10,CH94,CG94)+IF(#REF!&gt;=11,CP94,CO94)+IF(#REF!&gt;=12,CX94,CW94)</f>
        <v>#REF!</v>
      </c>
      <c r="DD94" s="52" t="e">
        <f t="shared" si="243"/>
        <v>#REF!</v>
      </c>
      <c r="DE94" s="113">
        <f>IF(DB94=0,0,DD94/DB94)</f>
        <v>0</v>
      </c>
    </row>
    <row r="95" spans="1:109" ht="31.5" hidden="1">
      <c r="A95" s="98" t="s">
        <v>128</v>
      </c>
      <c r="B95" s="18" t="s">
        <v>48</v>
      </c>
      <c r="C95" s="31" t="s">
        <v>4</v>
      </c>
      <c r="D95" s="21"/>
      <c r="E95" s="21"/>
      <c r="F95" s="21"/>
      <c r="G95" s="21"/>
      <c r="H95" s="21"/>
      <c r="I95" s="21"/>
      <c r="J95" s="21"/>
      <c r="K95" s="52" t="s">
        <v>250</v>
      </c>
      <c r="L95" s="52" t="s">
        <v>250</v>
      </c>
      <c r="M95" s="52"/>
      <c r="N95" s="21"/>
      <c r="O95" s="21"/>
      <c r="P95" s="21"/>
      <c r="Q95" s="21"/>
      <c r="R95" s="21"/>
      <c r="S95" s="21"/>
      <c r="T95" s="52" t="s">
        <v>250</v>
      </c>
      <c r="U95" s="52" t="s">
        <v>250</v>
      </c>
      <c r="V95" s="21"/>
      <c r="W95" s="21"/>
      <c r="X95" s="21"/>
      <c r="Y95" s="21"/>
      <c r="Z95" s="21"/>
      <c r="AA95" s="21"/>
      <c r="AB95" s="21"/>
      <c r="AC95" s="52" t="s">
        <v>250</v>
      </c>
      <c r="AD95" s="52" t="s">
        <v>250</v>
      </c>
      <c r="AE95" s="21"/>
      <c r="AF95" s="21"/>
      <c r="AG95" s="21"/>
      <c r="AH95" s="21"/>
      <c r="AI95" s="21"/>
      <c r="AJ95" s="21"/>
      <c r="AK95" s="21"/>
      <c r="AL95" s="52" t="s">
        <v>250</v>
      </c>
      <c r="AM95" s="52" t="s">
        <v>250</v>
      </c>
      <c r="AN95" s="21"/>
      <c r="AO95" s="21"/>
      <c r="AP95" s="21"/>
      <c r="AQ95" s="21"/>
      <c r="AR95" s="21"/>
      <c r="AS95" s="21"/>
      <c r="AT95" s="21"/>
      <c r="AU95" s="52" t="s">
        <v>250</v>
      </c>
      <c r="AV95" s="52" t="s">
        <v>250</v>
      </c>
      <c r="AW95" s="21"/>
      <c r="AX95" s="21"/>
      <c r="AY95" s="21"/>
      <c r="AZ95" s="21"/>
      <c r="BA95" s="21"/>
      <c r="BB95" s="21"/>
      <c r="BC95" s="52" t="s">
        <v>250</v>
      </c>
      <c r="BD95" s="52" t="s">
        <v>250</v>
      </c>
      <c r="BE95" s="21"/>
      <c r="BF95" s="21"/>
      <c r="BG95" s="21"/>
      <c r="BH95" s="21"/>
      <c r="BI95" s="21"/>
      <c r="BJ95" s="21"/>
      <c r="BK95" s="52" t="s">
        <v>250</v>
      </c>
      <c r="BL95" s="52" t="s">
        <v>250</v>
      </c>
      <c r="BM95" s="21"/>
      <c r="BN95" s="21"/>
      <c r="BO95" s="21"/>
      <c r="BP95" s="21"/>
      <c r="BQ95" s="21"/>
      <c r="BR95" s="21"/>
      <c r="BS95" s="52" t="s">
        <v>250</v>
      </c>
      <c r="BT95" s="52" t="s">
        <v>250</v>
      </c>
      <c r="BU95" s="21"/>
      <c r="BV95" s="21"/>
      <c r="BW95" s="21"/>
      <c r="BX95" s="21"/>
      <c r="BY95" s="21"/>
      <c r="BZ95" s="21"/>
      <c r="CA95" s="52" t="s">
        <v>250</v>
      </c>
      <c r="CB95" s="52" t="s">
        <v>250</v>
      </c>
      <c r="CC95" s="21"/>
      <c r="CD95" s="21"/>
      <c r="CE95" s="21"/>
      <c r="CF95" s="21"/>
      <c r="CG95" s="21"/>
      <c r="CH95" s="141"/>
      <c r="CI95" s="52" t="s">
        <v>250</v>
      </c>
      <c r="CJ95" s="52" t="s">
        <v>250</v>
      </c>
      <c r="CK95" s="21"/>
      <c r="CL95" s="21"/>
      <c r="CM95" s="21"/>
      <c r="CN95" s="21"/>
      <c r="CO95" s="21"/>
      <c r="CP95" s="21"/>
      <c r="CQ95" s="52" t="s">
        <v>250</v>
      </c>
      <c r="CR95" s="52" t="s">
        <v>250</v>
      </c>
      <c r="CS95" s="21"/>
      <c r="CT95" s="21"/>
      <c r="CU95" s="21"/>
      <c r="CV95" s="21"/>
      <c r="CW95" s="21"/>
      <c r="CX95" s="21"/>
      <c r="CY95" s="52" t="s">
        <v>250</v>
      </c>
      <c r="CZ95" s="52" t="s">
        <v>250</v>
      </c>
      <c r="DA95" s="50" t="e">
        <f>J95+IF(#REF!&gt;=2,S95,0)+IF(#REF!&gt;=3,AB95,0)+IF(#REF!&gt;=4,AK95,0)+IF(#REF!&gt;=5,AT95,0)+IF(#REF!&gt;=6,BB95,0)+IF(#REF!&gt;=7,BJ95,0)+IF(#REF!&gt;=8,BR95,0)+IF(#REF!&gt;=9,BZ95,0)+IF(#REF!&gt;=10,CH95,0)+IF(#REF!&gt;=11,CP95,0)+IF(#REF!&gt;=12,CX95,0)</f>
        <v>#REF!</v>
      </c>
      <c r="DB95" s="84">
        <f>I95+R95+AA95+AJ95+AS95+BA95+BI95+BQ95+BY95+CG95+CO95+CW95</f>
        <v>0</v>
      </c>
      <c r="DC95" s="106" t="e">
        <f>IF(#REF!&gt;=1,J95,I95)+IF(#REF!&gt;=2,S95,R95)+IF(#REF!&gt;=3,AB95,AA95)+IF(#REF!&gt;=4,AK95,AJ95)+IF(#REF!&gt;=5,AT95,AS95)+IF(#REF!&gt;=6,BB95,BA95)+IF(#REF!&gt;=7,BJ95,BI95)+IF(#REF!&gt;=8,BR95,BQ95)+IF(#REF!&gt;=9,BZ95,BY95)+IF(#REF!&gt;=10,CH95,CG95)+IF(#REF!&gt;=11,CP95,CO95)+IF(#REF!&gt;=12,CX95,CW95)</f>
        <v>#REF!</v>
      </c>
      <c r="DD95" s="52" t="s">
        <v>250</v>
      </c>
      <c r="DE95" s="83" t="s">
        <v>250</v>
      </c>
    </row>
    <row r="96" spans="1:109" ht="15.75" hidden="1">
      <c r="A96" s="98" t="s">
        <v>129</v>
      </c>
      <c r="B96" s="220" t="s">
        <v>61</v>
      </c>
      <c r="C96" s="10" t="s">
        <v>4</v>
      </c>
      <c r="D96" s="52">
        <f>D84-D87-D91</f>
        <v>0</v>
      </c>
      <c r="E96" s="52">
        <f>E84-E87-E91</f>
        <v>0</v>
      </c>
      <c r="F96" s="52"/>
      <c r="G96" s="52"/>
      <c r="H96" s="52"/>
      <c r="I96" s="52">
        <f>I84-I87-I91</f>
        <v>0</v>
      </c>
      <c r="J96" s="52">
        <f>J84-J87-J91</f>
        <v>0</v>
      </c>
      <c r="K96" s="52">
        <f t="shared" si="221"/>
        <v>0</v>
      </c>
      <c r="L96" s="52" t="s">
        <v>250</v>
      </c>
      <c r="M96" s="17">
        <f>M84-M87-M91</f>
        <v>0</v>
      </c>
      <c r="N96" s="52">
        <f>N84-N87-N91</f>
        <v>0</v>
      </c>
      <c r="O96" s="52"/>
      <c r="P96" s="52"/>
      <c r="Q96" s="52"/>
      <c r="R96" s="52">
        <f>R84-R87-R91</f>
        <v>0</v>
      </c>
      <c r="S96" s="52">
        <f>S84-S87-S91</f>
        <v>0</v>
      </c>
      <c r="T96" s="52">
        <f aca="true" t="shared" si="244" ref="T96:T110">S96-R96</f>
        <v>0</v>
      </c>
      <c r="U96" s="52" t="s">
        <v>250</v>
      </c>
      <c r="V96" s="52">
        <f>V84-V87-V91</f>
        <v>0</v>
      </c>
      <c r="W96" s="52">
        <f>W84-W87-W91</f>
        <v>0</v>
      </c>
      <c r="X96" s="52"/>
      <c r="Y96" s="52"/>
      <c r="Z96" s="52"/>
      <c r="AA96" s="52">
        <f>AA84-AA87-AA91</f>
        <v>0</v>
      </c>
      <c r="AB96" s="52">
        <f>AB84-AB87-AB91</f>
        <v>0</v>
      </c>
      <c r="AC96" s="52">
        <f aca="true" t="shared" si="245" ref="AC96:AC110">AB96-AA96</f>
        <v>0</v>
      </c>
      <c r="AD96" s="52" t="s">
        <v>250</v>
      </c>
      <c r="AE96" s="52">
        <f>AE84-AE87-AE91</f>
        <v>0</v>
      </c>
      <c r="AF96" s="52">
        <f>AF84-AF87-AF91</f>
        <v>0</v>
      </c>
      <c r="AG96" s="52"/>
      <c r="AH96" s="52"/>
      <c r="AI96" s="52"/>
      <c r="AJ96" s="52">
        <f>AJ84-AJ87-AJ91</f>
        <v>0</v>
      </c>
      <c r="AK96" s="52">
        <f>AK84-AK87-AK91</f>
        <v>0</v>
      </c>
      <c r="AL96" s="52">
        <f aca="true" t="shared" si="246" ref="AL96:AL110">AK96-AJ96</f>
        <v>0</v>
      </c>
      <c r="AM96" s="52" t="s">
        <v>250</v>
      </c>
      <c r="AN96" s="52">
        <f>AN84-AN87-AN91</f>
        <v>0</v>
      </c>
      <c r="AO96" s="52">
        <f>AO84-AO87-AO91</f>
        <v>0</v>
      </c>
      <c r="AP96" s="52"/>
      <c r="AQ96" s="52"/>
      <c r="AR96" s="52"/>
      <c r="AS96" s="52">
        <f>AS84-AS87-AS91</f>
        <v>0</v>
      </c>
      <c r="AT96" s="52">
        <f>AT84-AT87-AT91</f>
        <v>0</v>
      </c>
      <c r="AU96" s="52">
        <f aca="true" t="shared" si="247" ref="AU96:AU110">AT96-AS96</f>
        <v>0</v>
      </c>
      <c r="AV96" s="52" t="s">
        <v>250</v>
      </c>
      <c r="AW96" s="52">
        <f>AW84-AW87-AW91</f>
        <v>0</v>
      </c>
      <c r="AX96" s="52">
        <f>AX84-AX87-AX91</f>
        <v>0</v>
      </c>
      <c r="AY96" s="52"/>
      <c r="AZ96" s="52"/>
      <c r="BA96" s="52">
        <f>BA84-BA87-BA91</f>
        <v>0</v>
      </c>
      <c r="BB96" s="52">
        <f>BB84-BB87-BB91</f>
        <v>0</v>
      </c>
      <c r="BC96" s="52">
        <f aca="true" t="shared" si="248" ref="BC96:BC110">BB96-BA96</f>
        <v>0</v>
      </c>
      <c r="BD96" s="52" t="s">
        <v>250</v>
      </c>
      <c r="BE96" s="52">
        <f>BE84-BE87-BE91</f>
        <v>0</v>
      </c>
      <c r="BF96" s="52"/>
      <c r="BG96" s="52">
        <f>BG84-BG87-BG91</f>
        <v>0</v>
      </c>
      <c r="BH96" s="52"/>
      <c r="BI96" s="52">
        <f>BI84-BI87-BI91</f>
        <v>0</v>
      </c>
      <c r="BJ96" s="52">
        <f>BJ84-BJ87-BJ91</f>
        <v>0</v>
      </c>
      <c r="BK96" s="52">
        <f aca="true" t="shared" si="249" ref="BK96:BK110">BJ96-BI96</f>
        <v>0</v>
      </c>
      <c r="BL96" s="52" t="s">
        <v>250</v>
      </c>
      <c r="BM96" s="52">
        <f>BM84-BM87-BM91</f>
        <v>0</v>
      </c>
      <c r="BN96" s="52">
        <f>BN84-BN87-BN91</f>
        <v>0</v>
      </c>
      <c r="BO96" s="52"/>
      <c r="BP96" s="52"/>
      <c r="BQ96" s="52">
        <f>BQ84-BQ87-BQ91</f>
        <v>0</v>
      </c>
      <c r="BR96" s="52">
        <f>BR84-BR87-BR91</f>
        <v>0</v>
      </c>
      <c r="BS96" s="52">
        <f aca="true" t="shared" si="250" ref="BS96:BS110">BR96-BQ96</f>
        <v>0</v>
      </c>
      <c r="BT96" s="52" t="s">
        <v>250</v>
      </c>
      <c r="BU96" s="52">
        <f>BU84-BU87-BU91</f>
        <v>0</v>
      </c>
      <c r="BV96" s="52">
        <f>BV84-BV87-BV91</f>
        <v>0</v>
      </c>
      <c r="BW96" s="52"/>
      <c r="BX96" s="52"/>
      <c r="BY96" s="52">
        <f>BY84-BY87-BY91</f>
        <v>0</v>
      </c>
      <c r="BZ96" s="52">
        <f>BZ84-BZ87-BZ91</f>
        <v>0</v>
      </c>
      <c r="CA96" s="52">
        <f aca="true" t="shared" si="251" ref="CA96:CA110">BZ96-BY96</f>
        <v>0</v>
      </c>
      <c r="CB96" s="52" t="s">
        <v>250</v>
      </c>
      <c r="CC96" s="52">
        <f>CC84-CC87-CC91</f>
        <v>0</v>
      </c>
      <c r="CD96" s="52">
        <f>CD84-CD87-CD91</f>
        <v>0</v>
      </c>
      <c r="CE96" s="52"/>
      <c r="CF96" s="52"/>
      <c r="CG96" s="52">
        <f>CG84-CG87-CG91</f>
        <v>0</v>
      </c>
      <c r="CH96" s="152">
        <f>CH84-CH87-CH91</f>
        <v>0</v>
      </c>
      <c r="CI96" s="52">
        <f aca="true" t="shared" si="252" ref="CI96:CI110">CH96-CG96</f>
        <v>0</v>
      </c>
      <c r="CJ96" s="52" t="s">
        <v>250</v>
      </c>
      <c r="CK96" s="52">
        <f>CK84-CK87-CK91</f>
        <v>0</v>
      </c>
      <c r="CL96" s="52">
        <f>CL84-CL87-CL91</f>
        <v>0</v>
      </c>
      <c r="CM96" s="52"/>
      <c r="CN96" s="52"/>
      <c r="CO96" s="52">
        <f>CO84-CO87-CO91</f>
        <v>0</v>
      </c>
      <c r="CP96" s="52">
        <f>CP84-CP87-CP91</f>
        <v>0</v>
      </c>
      <c r="CQ96" s="52">
        <f aca="true" t="shared" si="253" ref="CQ96:CQ110">CP96-CO96</f>
        <v>0</v>
      </c>
      <c r="CR96" s="52" t="s">
        <v>250</v>
      </c>
      <c r="CS96" s="52">
        <f>CS84-CS87-CS91</f>
        <v>0</v>
      </c>
      <c r="CT96" s="52">
        <f>CT84-CT87-CT91</f>
        <v>0</v>
      </c>
      <c r="CU96" s="52"/>
      <c r="CV96" s="52"/>
      <c r="CW96" s="52">
        <f>CW84-CW87-CW91</f>
        <v>0</v>
      </c>
      <c r="CX96" s="52">
        <f>CX84-CX87-CX91</f>
        <v>0</v>
      </c>
      <c r="CY96" s="52">
        <f aca="true" t="shared" si="254" ref="CY96:CY110">CX96-CW96</f>
        <v>0</v>
      </c>
      <c r="CZ96" s="52" t="s">
        <v>250</v>
      </c>
      <c r="DA96" s="52" t="e">
        <f>DA84-DA87-DA91</f>
        <v>#REF!</v>
      </c>
      <c r="DB96" s="84">
        <f>DB84-DB87-DB91</f>
        <v>0</v>
      </c>
      <c r="DC96" s="52" t="e">
        <f>DC84-DC87-DC91</f>
        <v>#REF!</v>
      </c>
      <c r="DD96" s="52" t="e">
        <f aca="true" t="shared" si="255" ref="DD96:DD110">DC96-DB96</f>
        <v>#REF!</v>
      </c>
      <c r="DE96" s="83" t="s">
        <v>250</v>
      </c>
    </row>
    <row r="97" spans="1:109" ht="15.75" hidden="1">
      <c r="A97" s="98" t="s">
        <v>130</v>
      </c>
      <c r="B97" s="220"/>
      <c r="C97" s="10" t="s">
        <v>1</v>
      </c>
      <c r="D97" s="51">
        <f>IF(D84=0,0,D96/D84)</f>
        <v>0</v>
      </c>
      <c r="E97" s="51">
        <f>IF(E84=0,0,E96/E84)</f>
        <v>0</v>
      </c>
      <c r="F97" s="51"/>
      <c r="G97" s="51"/>
      <c r="H97" s="51"/>
      <c r="I97" s="51">
        <f>IF(I84=0,0,I96/I84)</f>
        <v>0</v>
      </c>
      <c r="J97" s="51">
        <f>IF(J84=0,0,J96/J84)</f>
        <v>0</v>
      </c>
      <c r="K97" s="51">
        <f t="shared" si="221"/>
        <v>0</v>
      </c>
      <c r="L97" s="51" t="s">
        <v>250</v>
      </c>
      <c r="M97" s="17">
        <f>IF(M84=0,0,M96/M84)</f>
        <v>0</v>
      </c>
      <c r="N97" s="51">
        <f>IF(N84=0,0,N96/N84)</f>
        <v>0</v>
      </c>
      <c r="O97" s="51"/>
      <c r="P97" s="51"/>
      <c r="Q97" s="51"/>
      <c r="R97" s="51">
        <f>IF(R84=0,0,R96/R84)</f>
        <v>0</v>
      </c>
      <c r="S97" s="51">
        <f>IF(S84=0,0,S96/S84)</f>
        <v>0</v>
      </c>
      <c r="T97" s="51">
        <f t="shared" si="244"/>
        <v>0</v>
      </c>
      <c r="U97" s="51" t="s">
        <v>250</v>
      </c>
      <c r="V97" s="51">
        <f>IF(V84=0,0,V96/V84)</f>
        <v>0</v>
      </c>
      <c r="W97" s="51">
        <f>IF(W84=0,0,W96/W84)</f>
        <v>0</v>
      </c>
      <c r="X97" s="51"/>
      <c r="Y97" s="51"/>
      <c r="Z97" s="51"/>
      <c r="AA97" s="51">
        <f>IF(AA84=0,0,AA96/AA84)</f>
        <v>0</v>
      </c>
      <c r="AB97" s="51">
        <f>IF(AB84=0,0,AB96/AB84)</f>
        <v>0</v>
      </c>
      <c r="AC97" s="51">
        <f t="shared" si="245"/>
        <v>0</v>
      </c>
      <c r="AD97" s="51" t="s">
        <v>250</v>
      </c>
      <c r="AE97" s="51">
        <f>IF(AE84=0,0,AE96/AE84)</f>
        <v>0</v>
      </c>
      <c r="AF97" s="51">
        <f>IF(AF84=0,0,AF96/AF84)</f>
        <v>0</v>
      </c>
      <c r="AG97" s="51"/>
      <c r="AH97" s="51"/>
      <c r="AI97" s="51"/>
      <c r="AJ97" s="51">
        <f>IF(AJ84=0,0,AJ96/AJ84)</f>
        <v>0</v>
      </c>
      <c r="AK97" s="51">
        <f>IF(AK84=0,0,AK96/AK84)</f>
        <v>0</v>
      </c>
      <c r="AL97" s="51">
        <f t="shared" si="246"/>
        <v>0</v>
      </c>
      <c r="AM97" s="51" t="s">
        <v>250</v>
      </c>
      <c r="AN97" s="51">
        <f>IF(AN84=0,0,AN96/AN84)</f>
        <v>0</v>
      </c>
      <c r="AO97" s="51">
        <f>IF(AO84=0,0,AO96/AO84)</f>
        <v>0</v>
      </c>
      <c r="AP97" s="51"/>
      <c r="AQ97" s="51"/>
      <c r="AR97" s="51"/>
      <c r="AS97" s="51">
        <f>IF(AS84=0,0,AS96/AS84)</f>
        <v>0</v>
      </c>
      <c r="AT97" s="51">
        <f>IF(AT84=0,0,AT96/AT84)</f>
        <v>0</v>
      </c>
      <c r="AU97" s="51">
        <f t="shared" si="247"/>
        <v>0</v>
      </c>
      <c r="AV97" s="51" t="s">
        <v>250</v>
      </c>
      <c r="AW97" s="51">
        <f>IF(AW84=0,0,AW96/AW84)</f>
        <v>0</v>
      </c>
      <c r="AX97" s="51">
        <f>IF(AX84=0,0,AX96/AX84)</f>
        <v>0</v>
      </c>
      <c r="AY97" s="51"/>
      <c r="AZ97" s="51"/>
      <c r="BA97" s="51">
        <f>IF(BA84=0,0,BA96/BA84)</f>
        <v>0</v>
      </c>
      <c r="BB97" s="51">
        <f>IF(BB84=0,0,BB96/BB84)</f>
        <v>0</v>
      </c>
      <c r="BC97" s="51">
        <f t="shared" si="248"/>
        <v>0</v>
      </c>
      <c r="BD97" s="51" t="s">
        <v>250</v>
      </c>
      <c r="BE97" s="51">
        <f>IF(BE84=0,0,BE96/BE84)</f>
        <v>0</v>
      </c>
      <c r="BF97" s="51"/>
      <c r="BG97" s="51">
        <f>IF(BG84=0,0,BG96/BG84)</f>
        <v>0</v>
      </c>
      <c r="BH97" s="51"/>
      <c r="BI97" s="51">
        <f>IF(BI84=0,0,BI96/BI84)</f>
        <v>0</v>
      </c>
      <c r="BJ97" s="51">
        <f>IF(BJ84=0,0,BJ96/BJ84)</f>
        <v>0</v>
      </c>
      <c r="BK97" s="51">
        <f t="shared" si="249"/>
        <v>0</v>
      </c>
      <c r="BL97" s="51" t="s">
        <v>250</v>
      </c>
      <c r="BM97" s="51">
        <f>IF(BM84=0,0,BM96/BM84)</f>
        <v>0</v>
      </c>
      <c r="BN97" s="51">
        <f>IF(BN84=0,0,BN96/BN84)</f>
        <v>0</v>
      </c>
      <c r="BO97" s="51"/>
      <c r="BP97" s="51"/>
      <c r="BQ97" s="51">
        <f>IF(BQ84=0,0,BQ96/BQ84)</f>
        <v>0</v>
      </c>
      <c r="BR97" s="51">
        <f>IF(BR84=0,0,BR96/BR84)</f>
        <v>0</v>
      </c>
      <c r="BS97" s="51">
        <f t="shared" si="250"/>
        <v>0</v>
      </c>
      <c r="BT97" s="51" t="s">
        <v>250</v>
      </c>
      <c r="BU97" s="51">
        <f>IF(BU84=0,0,BU96/BU84)</f>
        <v>0</v>
      </c>
      <c r="BV97" s="51">
        <f>IF(BV84=0,0,BV96/BV84)</f>
        <v>0</v>
      </c>
      <c r="BW97" s="51"/>
      <c r="BX97" s="51"/>
      <c r="BY97" s="51">
        <f>IF(BY84=0,0,BY96/BY84)</f>
        <v>0</v>
      </c>
      <c r="BZ97" s="51">
        <f>IF(BZ84=0,0,BZ96/BZ84)</f>
        <v>0</v>
      </c>
      <c r="CA97" s="51">
        <f t="shared" si="251"/>
        <v>0</v>
      </c>
      <c r="CB97" s="51" t="s">
        <v>250</v>
      </c>
      <c r="CC97" s="51">
        <f>IF(CC84=0,0,CC96/CC84)</f>
        <v>0</v>
      </c>
      <c r="CD97" s="51">
        <f>IF(CD84=0,0,CD96/CD84)</f>
        <v>0</v>
      </c>
      <c r="CE97" s="51"/>
      <c r="CF97" s="51"/>
      <c r="CG97" s="51">
        <f>IF(CG84=0,0,CG96/CG84)</f>
        <v>0</v>
      </c>
      <c r="CH97" s="152">
        <f>IF(CH84=0,0,CH96/CH84)</f>
        <v>0</v>
      </c>
      <c r="CI97" s="51">
        <f t="shared" si="252"/>
        <v>0</v>
      </c>
      <c r="CJ97" s="51" t="s">
        <v>250</v>
      </c>
      <c r="CK97" s="51">
        <f>IF(CK84=0,0,CK96/CK84)</f>
        <v>0</v>
      </c>
      <c r="CL97" s="51">
        <f>IF(CL84=0,0,CL96/CL84)</f>
        <v>0</v>
      </c>
      <c r="CM97" s="51"/>
      <c r="CN97" s="51"/>
      <c r="CO97" s="51">
        <f>IF(CO84=0,0,CO96/CO84)</f>
        <v>0</v>
      </c>
      <c r="CP97" s="51">
        <f>IF(CP84=0,0,CP96/CP84)</f>
        <v>0</v>
      </c>
      <c r="CQ97" s="51">
        <f t="shared" si="253"/>
        <v>0</v>
      </c>
      <c r="CR97" s="51" t="s">
        <v>250</v>
      </c>
      <c r="CS97" s="51">
        <f>IF(CS84=0,0,CS96/CS84)</f>
        <v>0</v>
      </c>
      <c r="CT97" s="51">
        <f>IF(CT84=0,0,CT96/CT84)</f>
        <v>0</v>
      </c>
      <c r="CU97" s="51"/>
      <c r="CV97" s="51"/>
      <c r="CW97" s="51">
        <f>IF(CW84=0,0,CW96/CW84)</f>
        <v>0</v>
      </c>
      <c r="CX97" s="51">
        <f>IF(CX84=0,0,CX96/CX84)</f>
        <v>0</v>
      </c>
      <c r="CY97" s="51">
        <f t="shared" si="254"/>
        <v>0</v>
      </c>
      <c r="CZ97" s="51" t="s">
        <v>250</v>
      </c>
      <c r="DA97" s="51" t="e">
        <f>IF(DA84=0,0,DA96/DA84)</f>
        <v>#REF!</v>
      </c>
      <c r="DB97" s="85">
        <f>IF(DB84=0,0,DB96/DB84)</f>
        <v>0</v>
      </c>
      <c r="DC97" s="51" t="e">
        <f>IF(DC84=0,0,DC96/DC84)</f>
        <v>#REF!</v>
      </c>
      <c r="DD97" s="51" t="e">
        <f t="shared" si="255"/>
        <v>#REF!</v>
      </c>
      <c r="DE97" s="86" t="s">
        <v>250</v>
      </c>
    </row>
    <row r="98" spans="1:109" ht="15.75" hidden="1">
      <c r="A98" s="98" t="s">
        <v>131</v>
      </c>
      <c r="B98" s="222" t="s">
        <v>108</v>
      </c>
      <c r="C98" s="10" t="s">
        <v>4</v>
      </c>
      <c r="D98" s="21"/>
      <c r="E98" s="21"/>
      <c r="F98" s="21"/>
      <c r="G98" s="21"/>
      <c r="H98" s="21"/>
      <c r="I98" s="21"/>
      <c r="J98" s="21"/>
      <c r="K98" s="52">
        <f t="shared" si="221"/>
        <v>0</v>
      </c>
      <c r="L98" s="52" t="s">
        <v>250</v>
      </c>
      <c r="M98" s="17"/>
      <c r="N98" s="21"/>
      <c r="O98" s="21"/>
      <c r="P98" s="21"/>
      <c r="Q98" s="21"/>
      <c r="R98" s="21"/>
      <c r="S98" s="21"/>
      <c r="T98" s="52">
        <f t="shared" si="244"/>
        <v>0</v>
      </c>
      <c r="U98" s="52" t="s">
        <v>250</v>
      </c>
      <c r="V98" s="21"/>
      <c r="W98" s="21"/>
      <c r="X98" s="21"/>
      <c r="Y98" s="21"/>
      <c r="Z98" s="21"/>
      <c r="AA98" s="21"/>
      <c r="AB98" s="21"/>
      <c r="AC98" s="52">
        <f t="shared" si="245"/>
        <v>0</v>
      </c>
      <c r="AD98" s="52" t="s">
        <v>250</v>
      </c>
      <c r="AE98" s="21"/>
      <c r="AF98" s="21"/>
      <c r="AG98" s="21"/>
      <c r="AH98" s="21"/>
      <c r="AI98" s="21"/>
      <c r="AJ98" s="21"/>
      <c r="AK98" s="21"/>
      <c r="AL98" s="52">
        <f t="shared" si="246"/>
        <v>0</v>
      </c>
      <c r="AM98" s="52" t="s">
        <v>250</v>
      </c>
      <c r="AN98" s="21"/>
      <c r="AO98" s="21"/>
      <c r="AP98" s="21"/>
      <c r="AQ98" s="21"/>
      <c r="AR98" s="21"/>
      <c r="AS98" s="21"/>
      <c r="AT98" s="21"/>
      <c r="AU98" s="52">
        <f t="shared" si="247"/>
        <v>0</v>
      </c>
      <c r="AV98" s="52" t="s">
        <v>250</v>
      </c>
      <c r="AW98" s="21"/>
      <c r="AX98" s="21"/>
      <c r="AY98" s="21"/>
      <c r="AZ98" s="21"/>
      <c r="BA98" s="21"/>
      <c r="BB98" s="21"/>
      <c r="BC98" s="52">
        <f t="shared" si="248"/>
        <v>0</v>
      </c>
      <c r="BD98" s="52" t="s">
        <v>250</v>
      </c>
      <c r="BE98" s="21"/>
      <c r="BF98" s="21"/>
      <c r="BG98" s="21"/>
      <c r="BH98" s="21"/>
      <c r="BI98" s="21"/>
      <c r="BJ98" s="21"/>
      <c r="BK98" s="52">
        <f t="shared" si="249"/>
        <v>0</v>
      </c>
      <c r="BL98" s="52" t="s">
        <v>250</v>
      </c>
      <c r="BM98" s="21"/>
      <c r="BN98" s="21"/>
      <c r="BO98" s="21"/>
      <c r="BP98" s="21"/>
      <c r="BQ98" s="21"/>
      <c r="BR98" s="21"/>
      <c r="BS98" s="52">
        <f t="shared" si="250"/>
        <v>0</v>
      </c>
      <c r="BT98" s="52" t="s">
        <v>250</v>
      </c>
      <c r="BU98" s="21"/>
      <c r="BV98" s="21"/>
      <c r="BW98" s="21"/>
      <c r="BX98" s="21"/>
      <c r="BY98" s="21"/>
      <c r="BZ98" s="21"/>
      <c r="CA98" s="52">
        <f t="shared" si="251"/>
        <v>0</v>
      </c>
      <c r="CB98" s="52" t="s">
        <v>250</v>
      </c>
      <c r="CC98" s="21"/>
      <c r="CD98" s="21"/>
      <c r="CE98" s="21"/>
      <c r="CF98" s="21"/>
      <c r="CG98" s="21"/>
      <c r="CH98" s="141"/>
      <c r="CI98" s="52">
        <f t="shared" si="252"/>
        <v>0</v>
      </c>
      <c r="CJ98" s="52" t="s">
        <v>250</v>
      </c>
      <c r="CK98" s="21"/>
      <c r="CL98" s="21"/>
      <c r="CM98" s="21"/>
      <c r="CN98" s="21"/>
      <c r="CO98" s="21"/>
      <c r="CP98" s="21"/>
      <c r="CQ98" s="52">
        <f t="shared" si="253"/>
        <v>0</v>
      </c>
      <c r="CR98" s="52" t="s">
        <v>250</v>
      </c>
      <c r="CS98" s="21"/>
      <c r="CT98" s="21"/>
      <c r="CU98" s="21"/>
      <c r="CV98" s="21"/>
      <c r="CW98" s="21"/>
      <c r="CX98" s="21"/>
      <c r="CY98" s="52">
        <f t="shared" si="254"/>
        <v>0</v>
      </c>
      <c r="CZ98" s="52" t="s">
        <v>250</v>
      </c>
      <c r="DA98" s="50" t="e">
        <f>J98+IF(#REF!&gt;=2,S98,0)+IF(#REF!&gt;=3,AB98,0)+IF(#REF!&gt;=4,AK98,0)+IF(#REF!&gt;=5,AT98,0)+IF(#REF!&gt;=6,BB98,0)+IF(#REF!&gt;=7,BJ98,0)+IF(#REF!&gt;=8,BR98,0)+IF(#REF!&gt;=9,BZ98,0)+IF(#REF!&gt;=10,CH98,0)+IF(#REF!&gt;=11,CP98,0)+IF(#REF!&gt;=12,CX98,0)</f>
        <v>#REF!</v>
      </c>
      <c r="DB98" s="84">
        <f>I98+R98+AA98+AJ98+AS98+BA98+BI98+BQ98+BY98+CG98+CO98+CW98</f>
        <v>0</v>
      </c>
      <c r="DC98" s="106" t="e">
        <f>IF(#REF!&gt;=1,J98,I98)+IF(#REF!&gt;=2,S98,R98)+IF(#REF!&gt;=3,AB98,AA98)+IF(#REF!&gt;=4,AK98,AJ98)+IF(#REF!&gt;=5,AT98,AS98)+IF(#REF!&gt;=6,BB98,BA98)+IF(#REF!&gt;=7,BJ98,BI98)+IF(#REF!&gt;=8,BR98,BQ98)+IF(#REF!&gt;=9,BZ98,BY98)+IF(#REF!&gt;=10,CH98,CG98)+IF(#REF!&gt;=11,CP98,CO98)+IF(#REF!&gt;=12,CX98,CW98)</f>
        <v>#REF!</v>
      </c>
      <c r="DD98" s="52" t="e">
        <f t="shared" si="255"/>
        <v>#REF!</v>
      </c>
      <c r="DE98" s="83" t="s">
        <v>250</v>
      </c>
    </row>
    <row r="99" spans="1:109" ht="15.75" hidden="1">
      <c r="A99" s="98" t="s">
        <v>132</v>
      </c>
      <c r="B99" s="222"/>
      <c r="C99" s="10" t="s">
        <v>1</v>
      </c>
      <c r="D99" s="54">
        <f>IF(D84=0,0,D98/D84)</f>
        <v>0</v>
      </c>
      <c r="E99" s="54">
        <f>IF(E84=0,0,E98/E84)</f>
        <v>0</v>
      </c>
      <c r="F99" s="54"/>
      <c r="G99" s="54"/>
      <c r="H99" s="54"/>
      <c r="I99" s="54">
        <f>IF(I84=0,0,I98/I84)</f>
        <v>0</v>
      </c>
      <c r="J99" s="54">
        <f>IF(J84=0,0,J98/J84)</f>
        <v>0</v>
      </c>
      <c r="K99" s="51">
        <f t="shared" si="221"/>
        <v>0</v>
      </c>
      <c r="L99" s="51" t="s">
        <v>250</v>
      </c>
      <c r="M99" s="17">
        <f>IF(M84=0,0,M98/M84)</f>
        <v>0</v>
      </c>
      <c r="N99" s="54">
        <f>IF(N84=0,0,N98/N84)</f>
        <v>0</v>
      </c>
      <c r="O99" s="54"/>
      <c r="P99" s="54"/>
      <c r="Q99" s="54"/>
      <c r="R99" s="54">
        <f>IF(R84=0,0,R98/R84)</f>
        <v>0</v>
      </c>
      <c r="S99" s="54">
        <f>IF(S84=0,0,S98/S84)</f>
        <v>0</v>
      </c>
      <c r="T99" s="51">
        <f t="shared" si="244"/>
        <v>0</v>
      </c>
      <c r="U99" s="51" t="s">
        <v>250</v>
      </c>
      <c r="V99" s="54">
        <f>IF(V84=0,0,V98/V84)</f>
        <v>0</v>
      </c>
      <c r="W99" s="54">
        <f>IF(W84=0,0,W98/W84)</f>
        <v>0</v>
      </c>
      <c r="X99" s="54"/>
      <c r="Y99" s="54"/>
      <c r="Z99" s="54"/>
      <c r="AA99" s="54">
        <f>IF(AA84=0,0,AA98/AA84)</f>
        <v>0</v>
      </c>
      <c r="AB99" s="54">
        <f>IF(AB84=0,0,AB98/AB84)</f>
        <v>0</v>
      </c>
      <c r="AC99" s="51">
        <f t="shared" si="245"/>
        <v>0</v>
      </c>
      <c r="AD99" s="51" t="s">
        <v>250</v>
      </c>
      <c r="AE99" s="54">
        <f>IF(AE84=0,0,AE98/AE84)</f>
        <v>0</v>
      </c>
      <c r="AF99" s="54">
        <f>IF(AF84=0,0,AF98/AF84)</f>
        <v>0</v>
      </c>
      <c r="AG99" s="54"/>
      <c r="AH99" s="54"/>
      <c r="AI99" s="54"/>
      <c r="AJ99" s="54">
        <f>IF(AJ84=0,0,AJ98/AJ84)</f>
        <v>0</v>
      </c>
      <c r="AK99" s="54">
        <f>IF(AK84=0,0,AK98/AK84)</f>
        <v>0</v>
      </c>
      <c r="AL99" s="51">
        <f t="shared" si="246"/>
        <v>0</v>
      </c>
      <c r="AM99" s="51" t="s">
        <v>250</v>
      </c>
      <c r="AN99" s="54">
        <f>IF(AN84=0,0,AN98/AN84)</f>
        <v>0</v>
      </c>
      <c r="AO99" s="54">
        <f>IF(AO84=0,0,AO98/AO84)</f>
        <v>0</v>
      </c>
      <c r="AP99" s="54"/>
      <c r="AQ99" s="54"/>
      <c r="AR99" s="54"/>
      <c r="AS99" s="54">
        <f>IF(AS84=0,0,AS98/AS84)</f>
        <v>0</v>
      </c>
      <c r="AT99" s="54">
        <f>IF(AT84=0,0,AT98/AT84)</f>
        <v>0</v>
      </c>
      <c r="AU99" s="51">
        <f t="shared" si="247"/>
        <v>0</v>
      </c>
      <c r="AV99" s="51" t="s">
        <v>250</v>
      </c>
      <c r="AW99" s="54">
        <f>IF(AW84=0,0,AW98/AW84)</f>
        <v>0</v>
      </c>
      <c r="AX99" s="54">
        <f>IF(AX84=0,0,AX98/AX84)</f>
        <v>0</v>
      </c>
      <c r="AY99" s="54"/>
      <c r="AZ99" s="54"/>
      <c r="BA99" s="54">
        <f>IF(BA84=0,0,BA98/BA84)</f>
        <v>0</v>
      </c>
      <c r="BB99" s="54">
        <f>IF(BB84=0,0,BB98/BB84)</f>
        <v>0</v>
      </c>
      <c r="BC99" s="51">
        <f t="shared" si="248"/>
        <v>0</v>
      </c>
      <c r="BD99" s="51" t="s">
        <v>250</v>
      </c>
      <c r="BE99" s="54">
        <f>IF(BE84=0,0,BE98/BE84)</f>
        <v>0</v>
      </c>
      <c r="BF99" s="54"/>
      <c r="BG99" s="54">
        <f>IF(BG84=0,0,BG98/BG84)</f>
        <v>0</v>
      </c>
      <c r="BH99" s="54"/>
      <c r="BI99" s="54">
        <f>IF(BI84=0,0,BI98/BI84)</f>
        <v>0</v>
      </c>
      <c r="BJ99" s="54">
        <f>IF(BJ84=0,0,BJ98/BJ84)</f>
        <v>0</v>
      </c>
      <c r="BK99" s="51">
        <f t="shared" si="249"/>
        <v>0</v>
      </c>
      <c r="BL99" s="51" t="s">
        <v>250</v>
      </c>
      <c r="BM99" s="54">
        <f>IF(BM84=0,0,BM98/BM84)</f>
        <v>0</v>
      </c>
      <c r="BN99" s="54">
        <f>IF(BN84=0,0,BN98/BN84)</f>
        <v>0</v>
      </c>
      <c r="BO99" s="54"/>
      <c r="BP99" s="54"/>
      <c r="BQ99" s="54">
        <f>IF(BQ84=0,0,BQ98/BQ84)</f>
        <v>0</v>
      </c>
      <c r="BR99" s="54">
        <f>IF(BR84=0,0,BR98/BR84)</f>
        <v>0</v>
      </c>
      <c r="BS99" s="51">
        <f t="shared" si="250"/>
        <v>0</v>
      </c>
      <c r="BT99" s="51" t="s">
        <v>250</v>
      </c>
      <c r="BU99" s="54">
        <f>IF(BU84=0,0,BU98/BU84)</f>
        <v>0</v>
      </c>
      <c r="BV99" s="54">
        <f>IF(BV84=0,0,BV98/BV84)</f>
        <v>0</v>
      </c>
      <c r="BW99" s="54"/>
      <c r="BX99" s="54"/>
      <c r="BY99" s="54">
        <f>IF(BY84=0,0,BY98/BY84)</f>
        <v>0</v>
      </c>
      <c r="BZ99" s="54">
        <f>IF(BZ84=0,0,BZ98/BZ84)</f>
        <v>0</v>
      </c>
      <c r="CA99" s="51">
        <f t="shared" si="251"/>
        <v>0</v>
      </c>
      <c r="CB99" s="51" t="s">
        <v>250</v>
      </c>
      <c r="CC99" s="54">
        <f>IF(CC84=0,0,CC98/CC84)</f>
        <v>0</v>
      </c>
      <c r="CD99" s="54">
        <f>IF(CD84=0,0,CD98/CD84)</f>
        <v>0</v>
      </c>
      <c r="CE99" s="54"/>
      <c r="CF99" s="54"/>
      <c r="CG99" s="54">
        <f>IF(CG84=0,0,CG98/CG84)</f>
        <v>0</v>
      </c>
      <c r="CH99" s="180">
        <f>IF(CH84=0,0,CH98/CH84)</f>
        <v>0</v>
      </c>
      <c r="CI99" s="51">
        <f t="shared" si="252"/>
        <v>0</v>
      </c>
      <c r="CJ99" s="51" t="s">
        <v>250</v>
      </c>
      <c r="CK99" s="54">
        <f>IF(CK84=0,0,CK98/CK84)</f>
        <v>0</v>
      </c>
      <c r="CL99" s="54">
        <f>IF(CL84=0,0,CL98/CL84)</f>
        <v>0</v>
      </c>
      <c r="CM99" s="54"/>
      <c r="CN99" s="54"/>
      <c r="CO99" s="54">
        <f>IF(CO84=0,0,CO98/CO84)</f>
        <v>0</v>
      </c>
      <c r="CP99" s="54">
        <f>IF(CP84=0,0,CP98/CP84)</f>
        <v>0</v>
      </c>
      <c r="CQ99" s="51">
        <f t="shared" si="253"/>
        <v>0</v>
      </c>
      <c r="CR99" s="51" t="s">
        <v>250</v>
      </c>
      <c r="CS99" s="54">
        <f>IF(CS84=0,0,CS98/CS84)</f>
        <v>0</v>
      </c>
      <c r="CT99" s="54">
        <f>IF(CT84=0,0,CT98/CT84)</f>
        <v>0</v>
      </c>
      <c r="CU99" s="54"/>
      <c r="CV99" s="54"/>
      <c r="CW99" s="54">
        <f>IF(CW84=0,0,CW98/CW84)</f>
        <v>0</v>
      </c>
      <c r="CX99" s="54">
        <f>IF(CX84=0,0,CX98/CX84)</f>
        <v>0</v>
      </c>
      <c r="CY99" s="51">
        <f t="shared" si="254"/>
        <v>0</v>
      </c>
      <c r="CZ99" s="51" t="s">
        <v>250</v>
      </c>
      <c r="DA99" s="51" t="e">
        <f>IF(DA84=0,0,DA98/DA84)</f>
        <v>#REF!</v>
      </c>
      <c r="DB99" s="87">
        <f>IF(DB84=0,0,DB98/DB84)</f>
        <v>0</v>
      </c>
      <c r="DC99" s="54" t="e">
        <f>IF(DC84=0,0,DC98/DC84)</f>
        <v>#REF!</v>
      </c>
      <c r="DD99" s="51" t="e">
        <f t="shared" si="255"/>
        <v>#REF!</v>
      </c>
      <c r="DE99" s="86" t="s">
        <v>250</v>
      </c>
    </row>
    <row r="100" spans="1:109" ht="15.75" hidden="1">
      <c r="A100" s="98" t="s">
        <v>133</v>
      </c>
      <c r="B100" s="34" t="s">
        <v>134</v>
      </c>
      <c r="C100" s="10" t="s">
        <v>4</v>
      </c>
      <c r="D100" s="17"/>
      <c r="E100" s="17"/>
      <c r="F100" s="17"/>
      <c r="G100" s="17"/>
      <c r="H100" s="17"/>
      <c r="I100" s="17"/>
      <c r="J100" s="17"/>
      <c r="K100" s="52">
        <f t="shared" si="221"/>
        <v>0</v>
      </c>
      <c r="L100" s="52">
        <f t="shared" si="38"/>
        <v>0</v>
      </c>
      <c r="M100" s="17"/>
      <c r="N100" s="17"/>
      <c r="O100" s="17"/>
      <c r="P100" s="17"/>
      <c r="Q100" s="17"/>
      <c r="R100" s="17"/>
      <c r="S100" s="17"/>
      <c r="T100" s="52">
        <f t="shared" si="244"/>
        <v>0</v>
      </c>
      <c r="U100" s="52">
        <f>IF(R100=0,0,T100/R100)</f>
        <v>0</v>
      </c>
      <c r="V100" s="17"/>
      <c r="W100" s="17"/>
      <c r="X100" s="17"/>
      <c r="Y100" s="17"/>
      <c r="Z100" s="17"/>
      <c r="AA100" s="17"/>
      <c r="AB100" s="17"/>
      <c r="AC100" s="52">
        <f t="shared" si="245"/>
        <v>0</v>
      </c>
      <c r="AD100" s="52">
        <f>IF(AA100=0,0,AC100/AA100)</f>
        <v>0</v>
      </c>
      <c r="AE100" s="17"/>
      <c r="AF100" s="17"/>
      <c r="AG100" s="17"/>
      <c r="AH100" s="17"/>
      <c r="AI100" s="17"/>
      <c r="AJ100" s="17"/>
      <c r="AK100" s="17"/>
      <c r="AL100" s="52">
        <f t="shared" si="246"/>
        <v>0</v>
      </c>
      <c r="AM100" s="52">
        <f>IF(AJ100=0,0,AL100/AJ100)</f>
        <v>0</v>
      </c>
      <c r="AN100" s="17"/>
      <c r="AO100" s="17"/>
      <c r="AP100" s="17"/>
      <c r="AQ100" s="17"/>
      <c r="AR100" s="17"/>
      <c r="AS100" s="17"/>
      <c r="AT100" s="17"/>
      <c r="AU100" s="52">
        <f t="shared" si="247"/>
        <v>0</v>
      </c>
      <c r="AV100" s="52">
        <f>IF(AS100=0,0,AU100/AS100)</f>
        <v>0</v>
      </c>
      <c r="AW100" s="17"/>
      <c r="AX100" s="17"/>
      <c r="AY100" s="17"/>
      <c r="AZ100" s="17"/>
      <c r="BA100" s="17"/>
      <c r="BB100" s="17"/>
      <c r="BC100" s="52">
        <f t="shared" si="248"/>
        <v>0</v>
      </c>
      <c r="BD100" s="52">
        <f>IF(BA100=0,0,BC100/BA100)</f>
        <v>0</v>
      </c>
      <c r="BE100" s="17"/>
      <c r="BF100" s="17"/>
      <c r="BG100" s="17"/>
      <c r="BH100" s="17"/>
      <c r="BI100" s="17"/>
      <c r="BJ100" s="17"/>
      <c r="BK100" s="52">
        <f t="shared" si="249"/>
        <v>0</v>
      </c>
      <c r="BL100" s="52">
        <f>IF(BI100=0,0,BK100/BI100)</f>
        <v>0</v>
      </c>
      <c r="BM100" s="17"/>
      <c r="BN100" s="17"/>
      <c r="BO100" s="17"/>
      <c r="BP100" s="17"/>
      <c r="BQ100" s="17"/>
      <c r="BR100" s="17"/>
      <c r="BS100" s="52">
        <f t="shared" si="250"/>
        <v>0</v>
      </c>
      <c r="BT100" s="52">
        <f>IF(BQ100=0,0,BS100/BQ100)</f>
        <v>0</v>
      </c>
      <c r="BU100" s="17"/>
      <c r="BV100" s="17"/>
      <c r="BW100" s="17"/>
      <c r="BX100" s="17"/>
      <c r="BY100" s="17"/>
      <c r="BZ100" s="17"/>
      <c r="CA100" s="52">
        <f t="shared" si="251"/>
        <v>0</v>
      </c>
      <c r="CB100" s="52">
        <f>IF(BY100=0,0,CA100/BY100)</f>
        <v>0</v>
      </c>
      <c r="CC100" s="17"/>
      <c r="CD100" s="17"/>
      <c r="CE100" s="17"/>
      <c r="CF100" s="17"/>
      <c r="CG100" s="17"/>
      <c r="CH100" s="141"/>
      <c r="CI100" s="52">
        <f t="shared" si="252"/>
        <v>0</v>
      </c>
      <c r="CJ100" s="52">
        <f>IF(CG100=0,0,CI100/CG100)</f>
        <v>0</v>
      </c>
      <c r="CK100" s="17"/>
      <c r="CL100" s="17"/>
      <c r="CM100" s="17"/>
      <c r="CN100" s="17"/>
      <c r="CO100" s="17"/>
      <c r="CP100" s="17"/>
      <c r="CQ100" s="52">
        <f t="shared" si="253"/>
        <v>0</v>
      </c>
      <c r="CR100" s="52">
        <f>IF(CO100=0,0,CQ100/CO100)</f>
        <v>0</v>
      </c>
      <c r="CS100" s="17"/>
      <c r="CT100" s="17"/>
      <c r="CU100" s="17"/>
      <c r="CV100" s="17"/>
      <c r="CW100" s="17"/>
      <c r="CX100" s="17"/>
      <c r="CY100" s="52">
        <f t="shared" si="254"/>
        <v>0</v>
      </c>
      <c r="CZ100" s="52">
        <f>IF(CW100=0,0,CY100/CW100)</f>
        <v>0</v>
      </c>
      <c r="DA100" s="50" t="e">
        <f>J100+IF(#REF!&gt;=2,S100,0)+IF(#REF!&gt;=3,AB100,0)+IF(#REF!&gt;=4,AK100,0)+IF(#REF!&gt;=5,AT100,0)+IF(#REF!&gt;=6,BB100,0)+IF(#REF!&gt;=7,BJ100,0)+IF(#REF!&gt;=8,BR100,0)+IF(#REF!&gt;=9,BZ100,0)+IF(#REF!&gt;=10,CH100,0)+IF(#REF!&gt;=11,CP100,0)+IF(#REF!&gt;=12,CX100,0)</f>
        <v>#REF!</v>
      </c>
      <c r="DB100" s="84">
        <f>I100+R100+AA100+AJ100+AS100+BA100+BI100+BQ100+BY100+CG100+CO100+CW100</f>
        <v>0</v>
      </c>
      <c r="DC100" s="106" t="e">
        <f>IF(#REF!&gt;=1,J100,I100)+IF(#REF!&gt;=2,S100,R100)+IF(#REF!&gt;=3,AB100,AA100)+IF(#REF!&gt;=4,AK100,AJ100)+IF(#REF!&gt;=5,AT100,AS100)+IF(#REF!&gt;=6,BB100,BA100)+IF(#REF!&gt;=7,BJ100,BI100)+IF(#REF!&gt;=8,BR100,BQ100)+IF(#REF!&gt;=9,BZ100,BY100)+IF(#REF!&gt;=10,CH100,CG100)+IF(#REF!&gt;=11,CP100,CO100)+IF(#REF!&gt;=12,CX100,CW100)</f>
        <v>#REF!</v>
      </c>
      <c r="DD100" s="52" t="e">
        <f t="shared" si="255"/>
        <v>#REF!</v>
      </c>
      <c r="DE100" s="83">
        <f>IF(DB100=0,0,DD100/DB100)</f>
        <v>0</v>
      </c>
    </row>
    <row r="101" spans="1:109" ht="15.75" hidden="1">
      <c r="A101" s="98" t="s">
        <v>135</v>
      </c>
      <c r="B101" s="220" t="s">
        <v>35</v>
      </c>
      <c r="C101" s="10" t="s">
        <v>4</v>
      </c>
      <c r="D101" s="52">
        <f>D102*D100</f>
        <v>0</v>
      </c>
      <c r="E101" s="52">
        <f>E102*E100</f>
        <v>0</v>
      </c>
      <c r="F101" s="52"/>
      <c r="G101" s="52"/>
      <c r="H101" s="52"/>
      <c r="I101" s="52">
        <f>I102*I100</f>
        <v>0</v>
      </c>
      <c r="J101" s="52">
        <f>J102*J100</f>
        <v>0</v>
      </c>
      <c r="K101" s="52">
        <f t="shared" si="221"/>
        <v>0</v>
      </c>
      <c r="L101" s="52" t="s">
        <v>250</v>
      </c>
      <c r="M101" s="52">
        <f>M102*M100</f>
        <v>0</v>
      </c>
      <c r="N101" s="52">
        <f>N102*N100</f>
        <v>0</v>
      </c>
      <c r="O101" s="52"/>
      <c r="P101" s="52"/>
      <c r="Q101" s="52"/>
      <c r="R101" s="52">
        <f>R102*R100</f>
        <v>0</v>
      </c>
      <c r="S101" s="52">
        <f>S102*S100</f>
        <v>0</v>
      </c>
      <c r="T101" s="52">
        <f t="shared" si="244"/>
        <v>0</v>
      </c>
      <c r="U101" s="52" t="s">
        <v>250</v>
      </c>
      <c r="V101" s="52">
        <f>V102*V100</f>
        <v>0</v>
      </c>
      <c r="W101" s="52">
        <f>W102*W100</f>
        <v>0</v>
      </c>
      <c r="X101" s="52"/>
      <c r="Y101" s="52"/>
      <c r="Z101" s="52"/>
      <c r="AA101" s="52">
        <f>AA102*AA100</f>
        <v>0</v>
      </c>
      <c r="AB101" s="52">
        <f>AB102*AB100</f>
        <v>0</v>
      </c>
      <c r="AC101" s="52">
        <f t="shared" si="245"/>
        <v>0</v>
      </c>
      <c r="AD101" s="52" t="s">
        <v>250</v>
      </c>
      <c r="AE101" s="52">
        <f>AE102*AE100</f>
        <v>0</v>
      </c>
      <c r="AF101" s="52">
        <f>AF102*AF100</f>
        <v>0</v>
      </c>
      <c r="AG101" s="52"/>
      <c r="AH101" s="52"/>
      <c r="AI101" s="52"/>
      <c r="AJ101" s="52">
        <f>AJ102*AJ100</f>
        <v>0</v>
      </c>
      <c r="AK101" s="52">
        <f>AK102*AK100</f>
        <v>0</v>
      </c>
      <c r="AL101" s="52">
        <f t="shared" si="246"/>
        <v>0</v>
      </c>
      <c r="AM101" s="52" t="s">
        <v>250</v>
      </c>
      <c r="AN101" s="52">
        <f>AN102*AN100</f>
        <v>0</v>
      </c>
      <c r="AO101" s="52">
        <f>AO102*AO100</f>
        <v>0</v>
      </c>
      <c r="AP101" s="52"/>
      <c r="AQ101" s="52"/>
      <c r="AR101" s="52"/>
      <c r="AS101" s="52">
        <f>AS102*AS100</f>
        <v>0</v>
      </c>
      <c r="AT101" s="52">
        <f>AT102*AT100</f>
        <v>0</v>
      </c>
      <c r="AU101" s="52">
        <f t="shared" si="247"/>
        <v>0</v>
      </c>
      <c r="AV101" s="52" t="s">
        <v>250</v>
      </c>
      <c r="AW101" s="52">
        <f>AW102*AW100</f>
        <v>0</v>
      </c>
      <c r="AX101" s="52">
        <f>AX102*AX100</f>
        <v>0</v>
      </c>
      <c r="AY101" s="52"/>
      <c r="AZ101" s="52"/>
      <c r="BA101" s="52">
        <f>BA102*BA100</f>
        <v>0</v>
      </c>
      <c r="BB101" s="52">
        <f>BB102*BB100</f>
        <v>0</v>
      </c>
      <c r="BC101" s="52">
        <f t="shared" si="248"/>
        <v>0</v>
      </c>
      <c r="BD101" s="52" t="s">
        <v>250</v>
      </c>
      <c r="BE101" s="52">
        <f>BE102*BE100</f>
        <v>0</v>
      </c>
      <c r="BF101" s="52"/>
      <c r="BG101" s="52">
        <f>BG102*BG100</f>
        <v>0</v>
      </c>
      <c r="BH101" s="52"/>
      <c r="BI101" s="52">
        <f>BI102*BI100</f>
        <v>0</v>
      </c>
      <c r="BJ101" s="52">
        <f>BJ102*BJ100</f>
        <v>0</v>
      </c>
      <c r="BK101" s="52">
        <f t="shared" si="249"/>
        <v>0</v>
      </c>
      <c r="BL101" s="52" t="s">
        <v>250</v>
      </c>
      <c r="BM101" s="52">
        <f>BM102*BM100</f>
        <v>0</v>
      </c>
      <c r="BN101" s="52">
        <f>BN102*BN100</f>
        <v>0</v>
      </c>
      <c r="BO101" s="52"/>
      <c r="BP101" s="52"/>
      <c r="BQ101" s="52">
        <f>BQ102*BQ100</f>
        <v>0</v>
      </c>
      <c r="BR101" s="52">
        <f>BR102*BR100</f>
        <v>0</v>
      </c>
      <c r="BS101" s="52">
        <f t="shared" si="250"/>
        <v>0</v>
      </c>
      <c r="BT101" s="52" t="s">
        <v>250</v>
      </c>
      <c r="BU101" s="52">
        <f>BU102*BU100</f>
        <v>0</v>
      </c>
      <c r="BV101" s="52">
        <f>BV102*BV100</f>
        <v>0</v>
      </c>
      <c r="BW101" s="52"/>
      <c r="BX101" s="52"/>
      <c r="BY101" s="52">
        <f>BY102*BY100</f>
        <v>0</v>
      </c>
      <c r="BZ101" s="52">
        <f>BZ102*BZ100</f>
        <v>0</v>
      </c>
      <c r="CA101" s="52">
        <f t="shared" si="251"/>
        <v>0</v>
      </c>
      <c r="CB101" s="52" t="s">
        <v>250</v>
      </c>
      <c r="CC101" s="52">
        <f>CC102*CC100</f>
        <v>0</v>
      </c>
      <c r="CD101" s="52">
        <f>CD102*CD100</f>
        <v>0</v>
      </c>
      <c r="CE101" s="52"/>
      <c r="CF101" s="52"/>
      <c r="CG101" s="52">
        <f>CG102*CG100</f>
        <v>0</v>
      </c>
      <c r="CH101" s="152">
        <f>CH102*CH100</f>
        <v>0</v>
      </c>
      <c r="CI101" s="52">
        <f t="shared" si="252"/>
        <v>0</v>
      </c>
      <c r="CJ101" s="52" t="s">
        <v>250</v>
      </c>
      <c r="CK101" s="52">
        <f>CK102*CK100</f>
        <v>0</v>
      </c>
      <c r="CL101" s="52">
        <f>CL102*CL100</f>
        <v>0</v>
      </c>
      <c r="CM101" s="52"/>
      <c r="CN101" s="52"/>
      <c r="CO101" s="52">
        <f>CO102*CO100</f>
        <v>0</v>
      </c>
      <c r="CP101" s="52">
        <f>CP102*CP100</f>
        <v>0</v>
      </c>
      <c r="CQ101" s="52">
        <f t="shared" si="253"/>
        <v>0</v>
      </c>
      <c r="CR101" s="52" t="s">
        <v>250</v>
      </c>
      <c r="CS101" s="52">
        <f>CS102*CS100</f>
        <v>0</v>
      </c>
      <c r="CT101" s="52">
        <f>CT102*CT100</f>
        <v>0</v>
      </c>
      <c r="CU101" s="52"/>
      <c r="CV101" s="52"/>
      <c r="CW101" s="52">
        <f>CW102*CW100</f>
        <v>0</v>
      </c>
      <c r="CX101" s="52">
        <f>CX102*CX100</f>
        <v>0</v>
      </c>
      <c r="CY101" s="52">
        <f t="shared" si="254"/>
        <v>0</v>
      </c>
      <c r="CZ101" s="52" t="s">
        <v>250</v>
      </c>
      <c r="DA101" s="50" t="e">
        <f>J101+IF(#REF!&gt;=2,S101,0)+IF(#REF!&gt;=3,AB101,0)+IF(#REF!&gt;=4,AK101,0)+IF(#REF!&gt;=5,AT101,0)+IF(#REF!&gt;=6,BB101,0)+IF(#REF!&gt;=7,BJ101,0)+IF(#REF!&gt;=8,BR101,0)+IF(#REF!&gt;=9,BZ101,0)+IF(#REF!&gt;=10,CH101,0)+IF(#REF!&gt;=11,CP101,0)+IF(#REF!&gt;=12,CX101,0)</f>
        <v>#REF!</v>
      </c>
      <c r="DB101" s="84">
        <f>I101+R101+AA101+AJ101+AS101+BA101+BI101+BQ101+BY101+CG101+CO101+CW101</f>
        <v>0</v>
      </c>
      <c r="DC101" s="106" t="e">
        <f>IF(#REF!&gt;=1,J101,I101)+IF(#REF!&gt;=2,S101,R101)+IF(#REF!&gt;=3,AB101,AA101)+IF(#REF!&gt;=4,AK101,AJ101)+IF(#REF!&gt;=5,AT101,AS101)+IF(#REF!&gt;=6,BB101,BA101)+IF(#REF!&gt;=7,BJ101,BI101)+IF(#REF!&gt;=8,BR101,BQ101)+IF(#REF!&gt;=9,BZ101,BY101)+IF(#REF!&gt;=10,CH101,CG101)+IF(#REF!&gt;=11,CP101,CO101)+IF(#REF!&gt;=12,CX101,CW101)</f>
        <v>#REF!</v>
      </c>
      <c r="DD101" s="52" t="e">
        <f t="shared" si="255"/>
        <v>#REF!</v>
      </c>
      <c r="DE101" s="83" t="s">
        <v>250</v>
      </c>
    </row>
    <row r="102" spans="1:109" ht="15.75" hidden="1">
      <c r="A102" s="98" t="s">
        <v>136</v>
      </c>
      <c r="B102" s="220"/>
      <c r="C102" s="10" t="s">
        <v>1</v>
      </c>
      <c r="D102" s="21"/>
      <c r="E102" s="21"/>
      <c r="F102" s="21"/>
      <c r="G102" s="21"/>
      <c r="H102" s="21"/>
      <c r="I102" s="21"/>
      <c r="J102" s="21"/>
      <c r="K102" s="51">
        <f t="shared" si="221"/>
        <v>0</v>
      </c>
      <c r="L102" s="51" t="s">
        <v>250</v>
      </c>
      <c r="M102" s="17"/>
      <c r="N102" s="21"/>
      <c r="O102" s="21"/>
      <c r="P102" s="21"/>
      <c r="Q102" s="21"/>
      <c r="R102" s="21"/>
      <c r="S102" s="21"/>
      <c r="T102" s="51">
        <f t="shared" si="244"/>
        <v>0</v>
      </c>
      <c r="U102" s="51" t="s">
        <v>250</v>
      </c>
      <c r="V102" s="21"/>
      <c r="W102" s="21"/>
      <c r="X102" s="21"/>
      <c r="Y102" s="21"/>
      <c r="Z102" s="21"/>
      <c r="AA102" s="21"/>
      <c r="AB102" s="21"/>
      <c r="AC102" s="51">
        <f t="shared" si="245"/>
        <v>0</v>
      </c>
      <c r="AD102" s="51" t="s">
        <v>250</v>
      </c>
      <c r="AE102" s="21"/>
      <c r="AF102" s="21"/>
      <c r="AG102" s="21"/>
      <c r="AH102" s="21"/>
      <c r="AI102" s="21"/>
      <c r="AJ102" s="21"/>
      <c r="AK102" s="21"/>
      <c r="AL102" s="51">
        <f t="shared" si="246"/>
        <v>0</v>
      </c>
      <c r="AM102" s="51" t="s">
        <v>250</v>
      </c>
      <c r="AN102" s="21"/>
      <c r="AO102" s="21"/>
      <c r="AP102" s="21"/>
      <c r="AQ102" s="21"/>
      <c r="AR102" s="21"/>
      <c r="AS102" s="21"/>
      <c r="AT102" s="21"/>
      <c r="AU102" s="51">
        <f t="shared" si="247"/>
        <v>0</v>
      </c>
      <c r="AV102" s="51" t="s">
        <v>250</v>
      </c>
      <c r="AW102" s="21"/>
      <c r="AX102" s="21"/>
      <c r="AY102" s="21"/>
      <c r="AZ102" s="21"/>
      <c r="BA102" s="21"/>
      <c r="BB102" s="21"/>
      <c r="BC102" s="51">
        <f t="shared" si="248"/>
        <v>0</v>
      </c>
      <c r="BD102" s="51" t="s">
        <v>250</v>
      </c>
      <c r="BE102" s="21"/>
      <c r="BF102" s="21"/>
      <c r="BG102" s="21"/>
      <c r="BH102" s="21"/>
      <c r="BI102" s="21"/>
      <c r="BJ102" s="21"/>
      <c r="BK102" s="51">
        <f t="shared" si="249"/>
        <v>0</v>
      </c>
      <c r="BL102" s="51" t="s">
        <v>250</v>
      </c>
      <c r="BM102" s="21"/>
      <c r="BN102" s="21"/>
      <c r="BO102" s="21"/>
      <c r="BP102" s="21"/>
      <c r="BQ102" s="21"/>
      <c r="BR102" s="21"/>
      <c r="BS102" s="51">
        <f t="shared" si="250"/>
        <v>0</v>
      </c>
      <c r="BT102" s="51" t="s">
        <v>250</v>
      </c>
      <c r="BU102" s="21"/>
      <c r="BV102" s="21"/>
      <c r="BW102" s="21"/>
      <c r="BX102" s="21"/>
      <c r="BY102" s="21"/>
      <c r="BZ102" s="21"/>
      <c r="CA102" s="51">
        <f t="shared" si="251"/>
        <v>0</v>
      </c>
      <c r="CB102" s="51" t="s">
        <v>250</v>
      </c>
      <c r="CC102" s="21"/>
      <c r="CD102" s="21"/>
      <c r="CE102" s="21"/>
      <c r="CF102" s="21"/>
      <c r="CG102" s="21"/>
      <c r="CH102" s="141"/>
      <c r="CI102" s="51">
        <f t="shared" si="252"/>
        <v>0</v>
      </c>
      <c r="CJ102" s="51" t="s">
        <v>250</v>
      </c>
      <c r="CK102" s="21"/>
      <c r="CL102" s="21"/>
      <c r="CM102" s="21"/>
      <c r="CN102" s="21"/>
      <c r="CO102" s="21"/>
      <c r="CP102" s="21"/>
      <c r="CQ102" s="51">
        <f t="shared" si="253"/>
        <v>0</v>
      </c>
      <c r="CR102" s="51" t="s">
        <v>250</v>
      </c>
      <c r="CS102" s="21"/>
      <c r="CT102" s="21"/>
      <c r="CU102" s="21"/>
      <c r="CV102" s="21"/>
      <c r="CW102" s="21"/>
      <c r="CX102" s="21"/>
      <c r="CY102" s="51">
        <f t="shared" si="254"/>
        <v>0</v>
      </c>
      <c r="CZ102" s="51" t="s">
        <v>250</v>
      </c>
      <c r="DA102" s="51" t="e">
        <f>IF(DA100=0,0,DA101/DA100)</f>
        <v>#REF!</v>
      </c>
      <c r="DB102" s="103">
        <f>IF(DB100=0,0,DB101/DB100)</f>
        <v>0</v>
      </c>
      <c r="DC102" s="51" t="e">
        <f>IF(DC100=0,0,DC101/DC100)</f>
        <v>#REF!</v>
      </c>
      <c r="DD102" s="51" t="e">
        <f t="shared" si="255"/>
        <v>#REF!</v>
      </c>
      <c r="DE102" s="86" t="s">
        <v>250</v>
      </c>
    </row>
    <row r="103" spans="1:109" ht="15.75" hidden="1">
      <c r="A103" s="98" t="s">
        <v>137</v>
      </c>
      <c r="B103" s="35" t="s">
        <v>38</v>
      </c>
      <c r="C103" s="10" t="s">
        <v>4</v>
      </c>
      <c r="D103" s="17"/>
      <c r="E103" s="17"/>
      <c r="F103" s="17"/>
      <c r="G103" s="17"/>
      <c r="H103" s="17"/>
      <c r="I103" s="17"/>
      <c r="J103" s="17"/>
      <c r="K103" s="52">
        <f t="shared" si="221"/>
        <v>0</v>
      </c>
      <c r="L103" s="109">
        <f t="shared" si="38"/>
        <v>0</v>
      </c>
      <c r="M103" s="17"/>
      <c r="N103" s="17"/>
      <c r="O103" s="17"/>
      <c r="P103" s="17"/>
      <c r="Q103" s="17"/>
      <c r="R103" s="17"/>
      <c r="S103" s="17"/>
      <c r="T103" s="52">
        <f t="shared" si="244"/>
        <v>0</v>
      </c>
      <c r="U103" s="109">
        <f>IF(R103=0,0,T103/R103)</f>
        <v>0</v>
      </c>
      <c r="V103" s="17"/>
      <c r="W103" s="17"/>
      <c r="X103" s="17"/>
      <c r="Y103" s="17"/>
      <c r="Z103" s="17"/>
      <c r="AA103" s="17"/>
      <c r="AB103" s="17"/>
      <c r="AC103" s="52">
        <f t="shared" si="245"/>
        <v>0</v>
      </c>
      <c r="AD103" s="109">
        <f>IF(AA103=0,0,AC103/AA103)</f>
        <v>0</v>
      </c>
      <c r="AE103" s="17"/>
      <c r="AF103" s="17"/>
      <c r="AG103" s="17"/>
      <c r="AH103" s="17"/>
      <c r="AI103" s="17"/>
      <c r="AJ103" s="17"/>
      <c r="AK103" s="17"/>
      <c r="AL103" s="52">
        <f t="shared" si="246"/>
        <v>0</v>
      </c>
      <c r="AM103" s="109">
        <f>IF(AJ103=0,0,AL103/AJ103)</f>
        <v>0</v>
      </c>
      <c r="AN103" s="17"/>
      <c r="AO103" s="17"/>
      <c r="AP103" s="17"/>
      <c r="AQ103" s="17"/>
      <c r="AR103" s="17"/>
      <c r="AS103" s="17"/>
      <c r="AT103" s="17"/>
      <c r="AU103" s="52">
        <f t="shared" si="247"/>
        <v>0</v>
      </c>
      <c r="AV103" s="109">
        <f>IF(AS103=0,0,AU103/AS103)</f>
        <v>0</v>
      </c>
      <c r="AW103" s="17"/>
      <c r="AX103" s="17"/>
      <c r="AY103" s="17"/>
      <c r="AZ103" s="17"/>
      <c r="BA103" s="17"/>
      <c r="BB103" s="17"/>
      <c r="BC103" s="52">
        <f t="shared" si="248"/>
        <v>0</v>
      </c>
      <c r="BD103" s="109">
        <f>IF(BA103=0,0,BC103/BA103)</f>
        <v>0</v>
      </c>
      <c r="BE103" s="17"/>
      <c r="BF103" s="17"/>
      <c r="BG103" s="17"/>
      <c r="BH103" s="17"/>
      <c r="BI103" s="17"/>
      <c r="BJ103" s="17"/>
      <c r="BK103" s="52">
        <f t="shared" si="249"/>
        <v>0</v>
      </c>
      <c r="BL103" s="109">
        <f>IF(BI103=0,0,BK103/BI103)</f>
        <v>0</v>
      </c>
      <c r="BM103" s="17"/>
      <c r="BN103" s="17"/>
      <c r="BO103" s="17"/>
      <c r="BP103" s="17"/>
      <c r="BQ103" s="17"/>
      <c r="BR103" s="17"/>
      <c r="BS103" s="52">
        <f t="shared" si="250"/>
        <v>0</v>
      </c>
      <c r="BT103" s="109">
        <f>IF(BQ103=0,0,BS103/BQ103)</f>
        <v>0</v>
      </c>
      <c r="BU103" s="17"/>
      <c r="BV103" s="17"/>
      <c r="BW103" s="17"/>
      <c r="BX103" s="17"/>
      <c r="BY103" s="17"/>
      <c r="BZ103" s="17"/>
      <c r="CA103" s="52">
        <f t="shared" si="251"/>
        <v>0</v>
      </c>
      <c r="CB103" s="109">
        <f>IF(BY103=0,0,CA103/BY103)</f>
        <v>0</v>
      </c>
      <c r="CC103" s="17"/>
      <c r="CD103" s="17"/>
      <c r="CE103" s="17"/>
      <c r="CF103" s="17"/>
      <c r="CG103" s="17"/>
      <c r="CH103" s="141"/>
      <c r="CI103" s="52">
        <f t="shared" si="252"/>
        <v>0</v>
      </c>
      <c r="CJ103" s="109">
        <f>IF(CG103=0,0,CI103/CG103)</f>
        <v>0</v>
      </c>
      <c r="CK103" s="17"/>
      <c r="CL103" s="17"/>
      <c r="CM103" s="17"/>
      <c r="CN103" s="17"/>
      <c r="CO103" s="17"/>
      <c r="CP103" s="17"/>
      <c r="CQ103" s="52">
        <f t="shared" si="253"/>
        <v>0</v>
      </c>
      <c r="CR103" s="109">
        <f>IF(CO103=0,0,CQ103/CO103)</f>
        <v>0</v>
      </c>
      <c r="CS103" s="17"/>
      <c r="CT103" s="17"/>
      <c r="CU103" s="17"/>
      <c r="CV103" s="17"/>
      <c r="CW103" s="17"/>
      <c r="CX103" s="17"/>
      <c r="CY103" s="52">
        <f t="shared" si="254"/>
        <v>0</v>
      </c>
      <c r="CZ103" s="109">
        <f>IF(CW103=0,0,CY103/CW103)</f>
        <v>0</v>
      </c>
      <c r="DA103" s="50" t="e">
        <f>J103+IF(#REF!&gt;=2,S103,0)+IF(#REF!&gt;=3,AB103,0)+IF(#REF!&gt;=4,AK103,0)+IF(#REF!&gt;=5,AT103,0)+IF(#REF!&gt;=6,BB103,0)+IF(#REF!&gt;=7,BJ103,0)+IF(#REF!&gt;=8,BR103,0)+IF(#REF!&gt;=9,BZ103,0)+IF(#REF!&gt;=10,CH103,0)+IF(#REF!&gt;=11,CP103,0)+IF(#REF!&gt;=12,CX103,0)</f>
        <v>#REF!</v>
      </c>
      <c r="DB103" s="84">
        <f>I103+R103+AA103+AJ103+AS103+BA103+BI103+BQ103+BY103+CG103+CO103+CW103</f>
        <v>0</v>
      </c>
      <c r="DC103" s="106" t="e">
        <f>IF(#REF!&gt;=1,J103,I103)+IF(#REF!&gt;=2,S103,R103)+IF(#REF!&gt;=3,AB103,AA103)+IF(#REF!&gt;=4,AK103,AJ103)+IF(#REF!&gt;=5,AT103,AS103)+IF(#REF!&gt;=6,BB103,BA103)+IF(#REF!&gt;=7,BJ103,BI103)+IF(#REF!&gt;=8,BR103,BQ103)+IF(#REF!&gt;=9,BZ103,BY103)+IF(#REF!&gt;=10,CH103,CG103)+IF(#REF!&gt;=11,CP103,CO103)+IF(#REF!&gt;=12,CX103,CW103)</f>
        <v>#REF!</v>
      </c>
      <c r="DD103" s="52" t="e">
        <f t="shared" si="255"/>
        <v>#REF!</v>
      </c>
      <c r="DE103" s="113">
        <f>IF(DB103=0,0,DD103/DB103)</f>
        <v>0</v>
      </c>
    </row>
    <row r="104" spans="1:109" ht="15.75" hidden="1">
      <c r="A104" s="98" t="s">
        <v>138</v>
      </c>
      <c r="B104" s="36" t="s">
        <v>39</v>
      </c>
      <c r="C104" s="10" t="s">
        <v>4</v>
      </c>
      <c r="D104" s="52">
        <f>D100-D101-D103</f>
        <v>0</v>
      </c>
      <c r="E104" s="52">
        <f>E100-E101-E103</f>
        <v>0</v>
      </c>
      <c r="F104" s="52"/>
      <c r="G104" s="52"/>
      <c r="H104" s="52"/>
      <c r="I104" s="52">
        <f>I100-I101-I103</f>
        <v>0</v>
      </c>
      <c r="J104" s="52">
        <f>J100-J101-J103</f>
        <v>0</v>
      </c>
      <c r="K104" s="52">
        <f t="shared" si="221"/>
        <v>0</v>
      </c>
      <c r="L104" s="109">
        <f t="shared" si="38"/>
        <v>0</v>
      </c>
      <c r="M104" s="17">
        <f>M100-M101-M103</f>
        <v>0</v>
      </c>
      <c r="N104" s="52">
        <f>N100-N101-N103</f>
        <v>0</v>
      </c>
      <c r="O104" s="52"/>
      <c r="P104" s="52"/>
      <c r="Q104" s="52"/>
      <c r="R104" s="52">
        <f>R100-R101-R103</f>
        <v>0</v>
      </c>
      <c r="S104" s="52">
        <f>S100-S101-S103</f>
        <v>0</v>
      </c>
      <c r="T104" s="52">
        <f t="shared" si="244"/>
        <v>0</v>
      </c>
      <c r="U104" s="109">
        <f>IF(R104=0,0,T104/R104)</f>
        <v>0</v>
      </c>
      <c r="V104" s="52">
        <f>V100-V101-V103</f>
        <v>0</v>
      </c>
      <c r="W104" s="52">
        <f>W100-W101-W103</f>
        <v>0</v>
      </c>
      <c r="X104" s="52"/>
      <c r="Y104" s="52"/>
      <c r="Z104" s="52"/>
      <c r="AA104" s="52">
        <f>AA100-AA101-AA103</f>
        <v>0</v>
      </c>
      <c r="AB104" s="52">
        <f>AB100-AB101-AB103</f>
        <v>0</v>
      </c>
      <c r="AC104" s="52">
        <f t="shared" si="245"/>
        <v>0</v>
      </c>
      <c r="AD104" s="109">
        <f>IF(AA104=0,0,AC104/AA104)</f>
        <v>0</v>
      </c>
      <c r="AE104" s="52">
        <f>AE100-AE101-AE103</f>
        <v>0</v>
      </c>
      <c r="AF104" s="52">
        <f>AF100-AF101-AF103</f>
        <v>0</v>
      </c>
      <c r="AG104" s="52"/>
      <c r="AH104" s="52"/>
      <c r="AI104" s="52"/>
      <c r="AJ104" s="52">
        <f>AJ100-AJ101-AJ103</f>
        <v>0</v>
      </c>
      <c r="AK104" s="52">
        <f>AK100-AK101-AK103</f>
        <v>0</v>
      </c>
      <c r="AL104" s="52">
        <f t="shared" si="246"/>
        <v>0</v>
      </c>
      <c r="AM104" s="109">
        <f>IF(AJ104=0,0,AL104/AJ104)</f>
        <v>0</v>
      </c>
      <c r="AN104" s="52">
        <f>AN100-AN101-AN103</f>
        <v>0</v>
      </c>
      <c r="AO104" s="52">
        <f>AO100-AO101-AO103</f>
        <v>0</v>
      </c>
      <c r="AP104" s="52"/>
      <c r="AQ104" s="52"/>
      <c r="AR104" s="52"/>
      <c r="AS104" s="52">
        <f>AS100-AS101-AS103</f>
        <v>0</v>
      </c>
      <c r="AT104" s="52">
        <f>AT100-AT101-AT103</f>
        <v>0</v>
      </c>
      <c r="AU104" s="52">
        <f t="shared" si="247"/>
        <v>0</v>
      </c>
      <c r="AV104" s="109">
        <f>IF(AS104=0,0,AU104/AS104)</f>
        <v>0</v>
      </c>
      <c r="AW104" s="52">
        <f>AW100-AW101-AW103</f>
        <v>0</v>
      </c>
      <c r="AX104" s="52">
        <f>AX100-AX101-AX103</f>
        <v>0</v>
      </c>
      <c r="AY104" s="52"/>
      <c r="AZ104" s="52"/>
      <c r="BA104" s="52">
        <f>BA100-BA101-BA103</f>
        <v>0</v>
      </c>
      <c r="BB104" s="52">
        <f>BB100-BB101-BB103</f>
        <v>0</v>
      </c>
      <c r="BC104" s="52">
        <f t="shared" si="248"/>
        <v>0</v>
      </c>
      <c r="BD104" s="109">
        <f>IF(BA104=0,0,BC104/BA104)</f>
        <v>0</v>
      </c>
      <c r="BE104" s="52">
        <f>BE100-BE101-BE103</f>
        <v>0</v>
      </c>
      <c r="BF104" s="52"/>
      <c r="BG104" s="52">
        <f>BG100-BG101-BG103</f>
        <v>0</v>
      </c>
      <c r="BH104" s="52"/>
      <c r="BI104" s="52">
        <f>BI100-BI101-BI103</f>
        <v>0</v>
      </c>
      <c r="BJ104" s="52">
        <f>BJ100-BJ101-BJ103</f>
        <v>0</v>
      </c>
      <c r="BK104" s="52">
        <f t="shared" si="249"/>
        <v>0</v>
      </c>
      <c r="BL104" s="109">
        <f>IF(BI104=0,0,BK104/BI104)</f>
        <v>0</v>
      </c>
      <c r="BM104" s="52">
        <f>BM100-BM101-BM103</f>
        <v>0</v>
      </c>
      <c r="BN104" s="52">
        <f>BN100-BN101-BN103</f>
        <v>0</v>
      </c>
      <c r="BO104" s="52"/>
      <c r="BP104" s="52"/>
      <c r="BQ104" s="52">
        <f>BQ100-BQ101-BQ103</f>
        <v>0</v>
      </c>
      <c r="BR104" s="52">
        <f>BR100-BR101-BR103</f>
        <v>0</v>
      </c>
      <c r="BS104" s="52">
        <f t="shared" si="250"/>
        <v>0</v>
      </c>
      <c r="BT104" s="109">
        <f>IF(BQ104=0,0,BS104/BQ104)</f>
        <v>0</v>
      </c>
      <c r="BU104" s="52">
        <f>BU100-BU101-BU103</f>
        <v>0</v>
      </c>
      <c r="BV104" s="52">
        <f>BV100-BV101-BV103</f>
        <v>0</v>
      </c>
      <c r="BW104" s="52"/>
      <c r="BX104" s="52"/>
      <c r="BY104" s="52">
        <f>BY100-BY101-BY103</f>
        <v>0</v>
      </c>
      <c r="BZ104" s="52">
        <f>BZ100-BZ101-BZ103</f>
        <v>0</v>
      </c>
      <c r="CA104" s="52">
        <f t="shared" si="251"/>
        <v>0</v>
      </c>
      <c r="CB104" s="109">
        <f>IF(BY104=0,0,CA104/BY104)</f>
        <v>0</v>
      </c>
      <c r="CC104" s="52">
        <f>CC100-CC101-CC103</f>
        <v>0</v>
      </c>
      <c r="CD104" s="52">
        <f>CD100-CD101-CD103</f>
        <v>0</v>
      </c>
      <c r="CE104" s="52"/>
      <c r="CF104" s="52"/>
      <c r="CG104" s="52">
        <f>CG100-CG101-CG103</f>
        <v>0</v>
      </c>
      <c r="CH104" s="152">
        <f>CH100-CH101-CH103</f>
        <v>0</v>
      </c>
      <c r="CI104" s="52">
        <f t="shared" si="252"/>
        <v>0</v>
      </c>
      <c r="CJ104" s="109">
        <f>IF(CG104=0,0,CI104/CG104)</f>
        <v>0</v>
      </c>
      <c r="CK104" s="52">
        <f>CK100-CK101-CK103</f>
        <v>0</v>
      </c>
      <c r="CL104" s="52">
        <f>CL100-CL101-CL103</f>
        <v>0</v>
      </c>
      <c r="CM104" s="52"/>
      <c r="CN104" s="52"/>
      <c r="CO104" s="52">
        <f>CO100-CO101-CO103</f>
        <v>0</v>
      </c>
      <c r="CP104" s="52">
        <f>CP100-CP101-CP103</f>
        <v>0</v>
      </c>
      <c r="CQ104" s="52">
        <f t="shared" si="253"/>
        <v>0</v>
      </c>
      <c r="CR104" s="109">
        <f>IF(CO104=0,0,CQ104/CO104)</f>
        <v>0</v>
      </c>
      <c r="CS104" s="52">
        <f>CS100-CS101-CS103</f>
        <v>0</v>
      </c>
      <c r="CT104" s="52">
        <f>CT100-CT101-CT103</f>
        <v>0</v>
      </c>
      <c r="CU104" s="52"/>
      <c r="CV104" s="52"/>
      <c r="CW104" s="52">
        <f>CW100-CW101-CW103</f>
        <v>0</v>
      </c>
      <c r="CX104" s="52">
        <f>CX100-CX101-CX103</f>
        <v>0</v>
      </c>
      <c r="CY104" s="52">
        <f t="shared" si="254"/>
        <v>0</v>
      </c>
      <c r="CZ104" s="109">
        <f>IF(CW104=0,0,CY104/CW104)</f>
        <v>0</v>
      </c>
      <c r="DA104" s="52" t="e">
        <f>DA100-DA101-DA103</f>
        <v>#REF!</v>
      </c>
      <c r="DB104" s="84">
        <f>DB100-DB101-DB103</f>
        <v>0</v>
      </c>
      <c r="DC104" s="52" t="e">
        <f>DC100-DC101-DC103</f>
        <v>#REF!</v>
      </c>
      <c r="DD104" s="52" t="e">
        <f t="shared" si="255"/>
        <v>#REF!</v>
      </c>
      <c r="DE104" s="113">
        <f>IF(DB104=0,0,DD104/DB104)</f>
        <v>0</v>
      </c>
    </row>
    <row r="105" spans="1:109" ht="15.75" hidden="1">
      <c r="A105" s="98" t="s">
        <v>139</v>
      </c>
      <c r="B105" s="220" t="s">
        <v>40</v>
      </c>
      <c r="C105" s="10" t="s">
        <v>4</v>
      </c>
      <c r="D105" s="52">
        <f>D104-D107</f>
        <v>0</v>
      </c>
      <c r="E105" s="52">
        <f>E104-E107</f>
        <v>0</v>
      </c>
      <c r="F105" s="52"/>
      <c r="G105" s="52"/>
      <c r="H105" s="52"/>
      <c r="I105" s="52">
        <f>I104-I107</f>
        <v>0</v>
      </c>
      <c r="J105" s="52">
        <f>J104-J107</f>
        <v>0</v>
      </c>
      <c r="K105" s="52">
        <f t="shared" si="221"/>
        <v>0</v>
      </c>
      <c r="L105" s="52" t="s">
        <v>250</v>
      </c>
      <c r="M105" s="17">
        <f>M104-M107</f>
        <v>0</v>
      </c>
      <c r="N105" s="52">
        <f>N104-N107</f>
        <v>0</v>
      </c>
      <c r="O105" s="52"/>
      <c r="P105" s="52"/>
      <c r="Q105" s="52"/>
      <c r="R105" s="52">
        <f>R104-R107</f>
        <v>0</v>
      </c>
      <c r="S105" s="52">
        <f>S104-S107</f>
        <v>0</v>
      </c>
      <c r="T105" s="52">
        <f t="shared" si="244"/>
        <v>0</v>
      </c>
      <c r="U105" s="52" t="s">
        <v>250</v>
      </c>
      <c r="V105" s="52">
        <f>V104-V107</f>
        <v>0</v>
      </c>
      <c r="W105" s="52">
        <f>W104-W107</f>
        <v>0</v>
      </c>
      <c r="X105" s="52"/>
      <c r="Y105" s="52"/>
      <c r="Z105" s="52"/>
      <c r="AA105" s="52">
        <f>AA104-AA107</f>
        <v>0</v>
      </c>
      <c r="AB105" s="52">
        <f>AB104-AB107</f>
        <v>0</v>
      </c>
      <c r="AC105" s="52">
        <f t="shared" si="245"/>
        <v>0</v>
      </c>
      <c r="AD105" s="52" t="s">
        <v>250</v>
      </c>
      <c r="AE105" s="52">
        <f>AE104-AE107</f>
        <v>0</v>
      </c>
      <c r="AF105" s="52">
        <f>AF104-AF107</f>
        <v>0</v>
      </c>
      <c r="AG105" s="52"/>
      <c r="AH105" s="52"/>
      <c r="AI105" s="52"/>
      <c r="AJ105" s="52">
        <f>AJ104-AJ107</f>
        <v>0</v>
      </c>
      <c r="AK105" s="52">
        <f>AK104-AK107</f>
        <v>0</v>
      </c>
      <c r="AL105" s="52">
        <f t="shared" si="246"/>
        <v>0</v>
      </c>
      <c r="AM105" s="52" t="s">
        <v>250</v>
      </c>
      <c r="AN105" s="52">
        <f>AN104-AN107</f>
        <v>0</v>
      </c>
      <c r="AO105" s="52">
        <f>AO104-AO107</f>
        <v>0</v>
      </c>
      <c r="AP105" s="52"/>
      <c r="AQ105" s="52"/>
      <c r="AR105" s="52"/>
      <c r="AS105" s="52">
        <f>AS104-AS107</f>
        <v>0</v>
      </c>
      <c r="AT105" s="52">
        <f>AT104-AT107</f>
        <v>0</v>
      </c>
      <c r="AU105" s="52">
        <f t="shared" si="247"/>
        <v>0</v>
      </c>
      <c r="AV105" s="52" t="s">
        <v>250</v>
      </c>
      <c r="AW105" s="52">
        <f>AW104-AW107</f>
        <v>0</v>
      </c>
      <c r="AX105" s="52">
        <f>AX104-AX107</f>
        <v>0</v>
      </c>
      <c r="AY105" s="52"/>
      <c r="AZ105" s="52"/>
      <c r="BA105" s="52">
        <f>BA104-BA107</f>
        <v>0</v>
      </c>
      <c r="BB105" s="52">
        <f>BB104-BB107</f>
        <v>0</v>
      </c>
      <c r="BC105" s="52">
        <f t="shared" si="248"/>
        <v>0</v>
      </c>
      <c r="BD105" s="52" t="s">
        <v>250</v>
      </c>
      <c r="BE105" s="52">
        <f>BE104-BE107</f>
        <v>0</v>
      </c>
      <c r="BF105" s="52"/>
      <c r="BG105" s="52">
        <f>BG104-BG107</f>
        <v>0</v>
      </c>
      <c r="BH105" s="52"/>
      <c r="BI105" s="52">
        <f>BI104-BI107</f>
        <v>0</v>
      </c>
      <c r="BJ105" s="52">
        <f>BJ104-BJ107</f>
        <v>0</v>
      </c>
      <c r="BK105" s="52">
        <f t="shared" si="249"/>
        <v>0</v>
      </c>
      <c r="BL105" s="52" t="s">
        <v>250</v>
      </c>
      <c r="BM105" s="52">
        <f>BM104-BM107</f>
        <v>0</v>
      </c>
      <c r="BN105" s="52">
        <f>BN104-BN107</f>
        <v>0</v>
      </c>
      <c r="BO105" s="52"/>
      <c r="BP105" s="52"/>
      <c r="BQ105" s="52">
        <f>BQ104-BQ107</f>
        <v>0</v>
      </c>
      <c r="BR105" s="52">
        <f>BR104-BR107</f>
        <v>0</v>
      </c>
      <c r="BS105" s="52">
        <f t="shared" si="250"/>
        <v>0</v>
      </c>
      <c r="BT105" s="52" t="s">
        <v>250</v>
      </c>
      <c r="BU105" s="52">
        <f>BU104-BU107</f>
        <v>0</v>
      </c>
      <c r="BV105" s="52">
        <f>BV104-BV107</f>
        <v>0</v>
      </c>
      <c r="BW105" s="52"/>
      <c r="BX105" s="52"/>
      <c r="BY105" s="52">
        <f>BY104-BY107</f>
        <v>0</v>
      </c>
      <c r="BZ105" s="52">
        <f>BZ104-BZ107</f>
        <v>0</v>
      </c>
      <c r="CA105" s="52">
        <f t="shared" si="251"/>
        <v>0</v>
      </c>
      <c r="CB105" s="52" t="s">
        <v>250</v>
      </c>
      <c r="CC105" s="52">
        <f>CC104-CC107</f>
        <v>0</v>
      </c>
      <c r="CD105" s="52">
        <f>CD104-CD107</f>
        <v>0</v>
      </c>
      <c r="CE105" s="52"/>
      <c r="CF105" s="52"/>
      <c r="CG105" s="52">
        <f>CG104-CG107</f>
        <v>0</v>
      </c>
      <c r="CH105" s="152">
        <f>CH104-CH107</f>
        <v>0</v>
      </c>
      <c r="CI105" s="52">
        <f t="shared" si="252"/>
        <v>0</v>
      </c>
      <c r="CJ105" s="52" t="s">
        <v>250</v>
      </c>
      <c r="CK105" s="52">
        <f>CK104-CK107</f>
        <v>0</v>
      </c>
      <c r="CL105" s="52">
        <f>CL104-CL107</f>
        <v>0</v>
      </c>
      <c r="CM105" s="52"/>
      <c r="CN105" s="52"/>
      <c r="CO105" s="52">
        <f>CO104-CO107</f>
        <v>0</v>
      </c>
      <c r="CP105" s="52">
        <f>CP104-CP107</f>
        <v>0</v>
      </c>
      <c r="CQ105" s="52">
        <f t="shared" si="253"/>
        <v>0</v>
      </c>
      <c r="CR105" s="52" t="s">
        <v>250</v>
      </c>
      <c r="CS105" s="52">
        <f>CS104-CS107</f>
        <v>0</v>
      </c>
      <c r="CT105" s="52">
        <f>CT104-CT107</f>
        <v>0</v>
      </c>
      <c r="CU105" s="52"/>
      <c r="CV105" s="52"/>
      <c r="CW105" s="52">
        <f>CW104-CW107</f>
        <v>0</v>
      </c>
      <c r="CX105" s="52">
        <f>CX104-CX107</f>
        <v>0</v>
      </c>
      <c r="CY105" s="52">
        <f t="shared" si="254"/>
        <v>0</v>
      </c>
      <c r="CZ105" s="52" t="s">
        <v>250</v>
      </c>
      <c r="DA105" s="52" t="e">
        <f>DA104-DA107</f>
        <v>#REF!</v>
      </c>
      <c r="DB105" s="84">
        <f>DB104-DB107</f>
        <v>0</v>
      </c>
      <c r="DC105" s="52" t="e">
        <f>DC104-DC107</f>
        <v>#REF!</v>
      </c>
      <c r="DD105" s="52" t="e">
        <f t="shared" si="255"/>
        <v>#REF!</v>
      </c>
      <c r="DE105" s="83" t="s">
        <v>250</v>
      </c>
    </row>
    <row r="106" spans="1:109" ht="15.75" hidden="1">
      <c r="A106" s="98" t="s">
        <v>140</v>
      </c>
      <c r="B106" s="220"/>
      <c r="C106" s="10" t="s">
        <v>1</v>
      </c>
      <c r="D106" s="51">
        <f>IF(D100=0,0,D105/D100)</f>
        <v>0</v>
      </c>
      <c r="E106" s="51">
        <f>IF(E100=0,0,E105/E100)</f>
        <v>0</v>
      </c>
      <c r="F106" s="51"/>
      <c r="G106" s="51"/>
      <c r="H106" s="51"/>
      <c r="I106" s="51">
        <f>IF(I100=0,0,I105/I100)</f>
        <v>0</v>
      </c>
      <c r="J106" s="51">
        <f>IF(J100=0,0,J105/J100)</f>
        <v>0</v>
      </c>
      <c r="K106" s="51">
        <f t="shared" si="221"/>
        <v>0</v>
      </c>
      <c r="L106" s="51" t="s">
        <v>250</v>
      </c>
      <c r="M106" s="17">
        <f>IF(M100=0,0,M105/M100)</f>
        <v>0</v>
      </c>
      <c r="N106" s="51">
        <f>IF(N100=0,0,N105/N100)</f>
        <v>0</v>
      </c>
      <c r="O106" s="51"/>
      <c r="P106" s="51"/>
      <c r="Q106" s="51"/>
      <c r="R106" s="51">
        <f>IF(R100=0,0,R105/R100)</f>
        <v>0</v>
      </c>
      <c r="S106" s="51">
        <f>IF(S100=0,0,S105/S100)</f>
        <v>0</v>
      </c>
      <c r="T106" s="51">
        <f t="shared" si="244"/>
        <v>0</v>
      </c>
      <c r="U106" s="51" t="s">
        <v>250</v>
      </c>
      <c r="V106" s="51">
        <f>IF(V100=0,0,V105/V100)</f>
        <v>0</v>
      </c>
      <c r="W106" s="51">
        <f>IF(W100=0,0,W105/W100)</f>
        <v>0</v>
      </c>
      <c r="X106" s="51"/>
      <c r="Y106" s="51"/>
      <c r="Z106" s="51"/>
      <c r="AA106" s="51">
        <f>IF(AA100=0,0,AA105/AA100)</f>
        <v>0</v>
      </c>
      <c r="AB106" s="51">
        <f>IF(AB100=0,0,AB105/AB100)</f>
        <v>0</v>
      </c>
      <c r="AC106" s="51">
        <f t="shared" si="245"/>
        <v>0</v>
      </c>
      <c r="AD106" s="51" t="s">
        <v>250</v>
      </c>
      <c r="AE106" s="51">
        <f>IF(AE100=0,0,AE105/AE100)</f>
        <v>0</v>
      </c>
      <c r="AF106" s="51">
        <f>IF(AF100=0,0,AF105/AF100)</f>
        <v>0</v>
      </c>
      <c r="AG106" s="51"/>
      <c r="AH106" s="51"/>
      <c r="AI106" s="51"/>
      <c r="AJ106" s="51">
        <f>IF(AJ100=0,0,AJ105/AJ100)</f>
        <v>0</v>
      </c>
      <c r="AK106" s="51">
        <f>IF(AK100=0,0,AK105/AK100)</f>
        <v>0</v>
      </c>
      <c r="AL106" s="51">
        <f t="shared" si="246"/>
        <v>0</v>
      </c>
      <c r="AM106" s="51" t="s">
        <v>250</v>
      </c>
      <c r="AN106" s="51">
        <f>IF(AN100=0,0,AN105/AN100)</f>
        <v>0</v>
      </c>
      <c r="AO106" s="51">
        <f>IF(AO100=0,0,AO105/AO100)</f>
        <v>0</v>
      </c>
      <c r="AP106" s="51"/>
      <c r="AQ106" s="51"/>
      <c r="AR106" s="51"/>
      <c r="AS106" s="51">
        <f>IF(AS100=0,0,AS105/AS100)</f>
        <v>0</v>
      </c>
      <c r="AT106" s="51">
        <f>IF(AT100=0,0,AT105/AT100)</f>
        <v>0</v>
      </c>
      <c r="AU106" s="51">
        <f t="shared" si="247"/>
        <v>0</v>
      </c>
      <c r="AV106" s="51" t="s">
        <v>250</v>
      </c>
      <c r="AW106" s="51">
        <f>IF(AW100=0,0,AW105/AW100)</f>
        <v>0</v>
      </c>
      <c r="AX106" s="51">
        <f>IF(AX100=0,0,AX105/AX100)</f>
        <v>0</v>
      </c>
      <c r="AY106" s="51"/>
      <c r="AZ106" s="51"/>
      <c r="BA106" s="51">
        <f>IF(BA100=0,0,BA105/BA100)</f>
        <v>0</v>
      </c>
      <c r="BB106" s="51">
        <f>IF(BB100=0,0,BB105/BB100)</f>
        <v>0</v>
      </c>
      <c r="BC106" s="51">
        <f t="shared" si="248"/>
        <v>0</v>
      </c>
      <c r="BD106" s="51" t="s">
        <v>250</v>
      </c>
      <c r="BE106" s="51">
        <f>IF(BE100=0,0,BE105/BE100)</f>
        <v>0</v>
      </c>
      <c r="BF106" s="51"/>
      <c r="BG106" s="51">
        <f>IF(BG100=0,0,BG105/BG100)</f>
        <v>0</v>
      </c>
      <c r="BH106" s="51"/>
      <c r="BI106" s="51">
        <f>IF(BI100=0,0,BI105/BI100)</f>
        <v>0</v>
      </c>
      <c r="BJ106" s="51">
        <f>IF(BJ100=0,0,BJ105/BJ100)</f>
        <v>0</v>
      </c>
      <c r="BK106" s="51">
        <f t="shared" si="249"/>
        <v>0</v>
      </c>
      <c r="BL106" s="51" t="s">
        <v>250</v>
      </c>
      <c r="BM106" s="51">
        <f>IF(BM100=0,0,BM105/BM100)</f>
        <v>0</v>
      </c>
      <c r="BN106" s="51">
        <f>IF(BN100=0,0,BN105/BN100)</f>
        <v>0</v>
      </c>
      <c r="BO106" s="51"/>
      <c r="BP106" s="51"/>
      <c r="BQ106" s="51">
        <f>IF(BQ100=0,0,BQ105/BQ100)</f>
        <v>0</v>
      </c>
      <c r="BR106" s="51">
        <f>IF(BR100=0,0,BR105/BR100)</f>
        <v>0</v>
      </c>
      <c r="BS106" s="51">
        <f t="shared" si="250"/>
        <v>0</v>
      </c>
      <c r="BT106" s="51" t="s">
        <v>250</v>
      </c>
      <c r="BU106" s="51">
        <f>IF(BU100=0,0,BU105/BU100)</f>
        <v>0</v>
      </c>
      <c r="BV106" s="51">
        <f>IF(BV100=0,0,BV105/BV100)</f>
        <v>0</v>
      </c>
      <c r="BW106" s="51"/>
      <c r="BX106" s="51"/>
      <c r="BY106" s="51">
        <f>IF(BY100=0,0,BY105/BY100)</f>
        <v>0</v>
      </c>
      <c r="BZ106" s="51">
        <f>IF(BZ100=0,0,BZ105/BZ100)</f>
        <v>0</v>
      </c>
      <c r="CA106" s="51">
        <f t="shared" si="251"/>
        <v>0</v>
      </c>
      <c r="CB106" s="51" t="s">
        <v>250</v>
      </c>
      <c r="CC106" s="51">
        <f>IF(CC100=0,0,CC105/CC100)</f>
        <v>0</v>
      </c>
      <c r="CD106" s="51">
        <f>IF(CD100=0,0,CD105/CD100)</f>
        <v>0</v>
      </c>
      <c r="CE106" s="51"/>
      <c r="CF106" s="51"/>
      <c r="CG106" s="51">
        <f>IF(CG100=0,0,CG105/CG100)</f>
        <v>0</v>
      </c>
      <c r="CH106" s="152">
        <f>IF(CH100=0,0,CH105/CH100)</f>
        <v>0</v>
      </c>
      <c r="CI106" s="51">
        <f t="shared" si="252"/>
        <v>0</v>
      </c>
      <c r="CJ106" s="51" t="s">
        <v>250</v>
      </c>
      <c r="CK106" s="51">
        <f>IF(CK100=0,0,CK105/CK100)</f>
        <v>0</v>
      </c>
      <c r="CL106" s="51">
        <f>IF(CL100=0,0,CL105/CL100)</f>
        <v>0</v>
      </c>
      <c r="CM106" s="51"/>
      <c r="CN106" s="51"/>
      <c r="CO106" s="51">
        <f>IF(CO100=0,0,CO105/CO100)</f>
        <v>0</v>
      </c>
      <c r="CP106" s="51">
        <f>IF(CP100=0,0,CP105/CP100)</f>
        <v>0</v>
      </c>
      <c r="CQ106" s="51">
        <f t="shared" si="253"/>
        <v>0</v>
      </c>
      <c r="CR106" s="51" t="s">
        <v>250</v>
      </c>
      <c r="CS106" s="51">
        <f>IF(CS100=0,0,CS105/CS100)</f>
        <v>0</v>
      </c>
      <c r="CT106" s="51">
        <f>IF(CT100=0,0,CT105/CT100)</f>
        <v>0</v>
      </c>
      <c r="CU106" s="51"/>
      <c r="CV106" s="51"/>
      <c r="CW106" s="51">
        <f>IF(CW100=0,0,CW105/CW100)</f>
        <v>0</v>
      </c>
      <c r="CX106" s="51">
        <f>IF(CX100=0,0,CX105/CX100)</f>
        <v>0</v>
      </c>
      <c r="CY106" s="51">
        <f t="shared" si="254"/>
        <v>0</v>
      </c>
      <c r="CZ106" s="51" t="s">
        <v>250</v>
      </c>
      <c r="DA106" s="51" t="e">
        <f>IF(DA100=0,0,DA105/DA100)</f>
        <v>#REF!</v>
      </c>
      <c r="DB106" s="85">
        <f>IF(DB100=0,0,DB105/DB100)</f>
        <v>0</v>
      </c>
      <c r="DC106" s="51" t="e">
        <f>IF(DC100=0,0,DC105/DC100)</f>
        <v>#REF!</v>
      </c>
      <c r="DD106" s="51" t="e">
        <f t="shared" si="255"/>
        <v>#REF!</v>
      </c>
      <c r="DE106" s="86" t="s">
        <v>250</v>
      </c>
    </row>
    <row r="107" spans="1:109" ht="15.75" hidden="1">
      <c r="A107" s="98" t="s">
        <v>141</v>
      </c>
      <c r="B107" s="35" t="s">
        <v>42</v>
      </c>
      <c r="C107" s="10" t="s">
        <v>4</v>
      </c>
      <c r="D107" s="52">
        <f>D108+D109+D110</f>
        <v>0</v>
      </c>
      <c r="E107" s="52">
        <f>E108+E109+E110</f>
        <v>0</v>
      </c>
      <c r="F107" s="52"/>
      <c r="G107" s="52"/>
      <c r="H107" s="52"/>
      <c r="I107" s="52">
        <f>I108+I109+I110</f>
        <v>0</v>
      </c>
      <c r="J107" s="52">
        <f>J108+J109+J110</f>
        <v>0</v>
      </c>
      <c r="K107" s="52">
        <f t="shared" si="221"/>
        <v>0</v>
      </c>
      <c r="L107" s="109">
        <f t="shared" si="38"/>
        <v>0</v>
      </c>
      <c r="M107" s="17">
        <f>M108+M109+M110</f>
        <v>0</v>
      </c>
      <c r="N107" s="52">
        <f>N108+N109+N110</f>
        <v>0</v>
      </c>
      <c r="O107" s="52"/>
      <c r="P107" s="52"/>
      <c r="Q107" s="52"/>
      <c r="R107" s="52">
        <f>R108+R109+R110</f>
        <v>0</v>
      </c>
      <c r="S107" s="52">
        <f>S108+S109+S110</f>
        <v>0</v>
      </c>
      <c r="T107" s="52">
        <f t="shared" si="244"/>
        <v>0</v>
      </c>
      <c r="U107" s="109">
        <f>IF(R107=0,0,T107/R107)</f>
        <v>0</v>
      </c>
      <c r="V107" s="52">
        <f>V108+V109+V110</f>
        <v>0</v>
      </c>
      <c r="W107" s="52">
        <f>W108+W109+W110</f>
        <v>0</v>
      </c>
      <c r="X107" s="52"/>
      <c r="Y107" s="52"/>
      <c r="Z107" s="52"/>
      <c r="AA107" s="52">
        <f>AA108+AA109+AA110</f>
        <v>0</v>
      </c>
      <c r="AB107" s="52">
        <f>AB108+AB109+AB110</f>
        <v>0</v>
      </c>
      <c r="AC107" s="52">
        <f t="shared" si="245"/>
        <v>0</v>
      </c>
      <c r="AD107" s="109">
        <f>IF(AA107=0,0,AC107/AA107)</f>
        <v>0</v>
      </c>
      <c r="AE107" s="52">
        <f>AE108+AE109+AE110</f>
        <v>0</v>
      </c>
      <c r="AF107" s="52">
        <f>AF108+AF109+AF110</f>
        <v>0</v>
      </c>
      <c r="AG107" s="52"/>
      <c r="AH107" s="52"/>
      <c r="AI107" s="52"/>
      <c r="AJ107" s="52">
        <f>AJ108+AJ109+AJ110</f>
        <v>0</v>
      </c>
      <c r="AK107" s="52">
        <f>AK108+AK109+AK110</f>
        <v>0</v>
      </c>
      <c r="AL107" s="52">
        <f t="shared" si="246"/>
        <v>0</v>
      </c>
      <c r="AM107" s="109">
        <f>IF(AJ107=0,0,AL107/AJ107)</f>
        <v>0</v>
      </c>
      <c r="AN107" s="52">
        <f>AN108+AN109+AN110</f>
        <v>0</v>
      </c>
      <c r="AO107" s="52">
        <f>AO108+AO109+AO110</f>
        <v>0</v>
      </c>
      <c r="AP107" s="52"/>
      <c r="AQ107" s="52"/>
      <c r="AR107" s="52"/>
      <c r="AS107" s="52">
        <f>AS108+AS109+AS110</f>
        <v>0</v>
      </c>
      <c r="AT107" s="52">
        <f>AT108+AT109+AT110</f>
        <v>0</v>
      </c>
      <c r="AU107" s="52">
        <f t="shared" si="247"/>
        <v>0</v>
      </c>
      <c r="AV107" s="109">
        <f>IF(AS107=0,0,AU107/AS107)</f>
        <v>0</v>
      </c>
      <c r="AW107" s="52">
        <f>AW108+AW109+AW110</f>
        <v>0</v>
      </c>
      <c r="AX107" s="52">
        <f>AX108+AX109+AX110</f>
        <v>0</v>
      </c>
      <c r="AY107" s="52"/>
      <c r="AZ107" s="52"/>
      <c r="BA107" s="52">
        <f>BA108+BA109+BA110</f>
        <v>0</v>
      </c>
      <c r="BB107" s="52">
        <f>BB108+BB109+BB110</f>
        <v>0</v>
      </c>
      <c r="BC107" s="52">
        <f t="shared" si="248"/>
        <v>0</v>
      </c>
      <c r="BD107" s="109">
        <f>IF(BA107=0,0,BC107/BA107)</f>
        <v>0</v>
      </c>
      <c r="BE107" s="52">
        <f>BE108+BE109+BE110</f>
        <v>0</v>
      </c>
      <c r="BF107" s="52"/>
      <c r="BG107" s="52">
        <f>BG108+BG109+BG110</f>
        <v>0</v>
      </c>
      <c r="BH107" s="52"/>
      <c r="BI107" s="52">
        <f>BI108+BI109+BI110</f>
        <v>0</v>
      </c>
      <c r="BJ107" s="52">
        <f>BJ108+BJ109+BJ110</f>
        <v>0</v>
      </c>
      <c r="BK107" s="52">
        <f t="shared" si="249"/>
        <v>0</v>
      </c>
      <c r="BL107" s="109">
        <f>IF(BI107=0,0,BK107/BI107)</f>
        <v>0</v>
      </c>
      <c r="BM107" s="52">
        <f>BM108+BM109+BM110</f>
        <v>0</v>
      </c>
      <c r="BN107" s="52">
        <f>BN108+BN109+BN110</f>
        <v>0</v>
      </c>
      <c r="BO107" s="52"/>
      <c r="BP107" s="52"/>
      <c r="BQ107" s="52">
        <f>BQ108+BQ109+BQ110</f>
        <v>0</v>
      </c>
      <c r="BR107" s="52">
        <f>BR108+BR109+BR110</f>
        <v>0</v>
      </c>
      <c r="BS107" s="52">
        <f t="shared" si="250"/>
        <v>0</v>
      </c>
      <c r="BT107" s="109">
        <f>IF(BQ107=0,0,BS107/BQ107)</f>
        <v>0</v>
      </c>
      <c r="BU107" s="52">
        <f>BU108+BU109+BU110</f>
        <v>0</v>
      </c>
      <c r="BV107" s="52">
        <f>BV108+BV109+BV110</f>
        <v>0</v>
      </c>
      <c r="BW107" s="52"/>
      <c r="BX107" s="52"/>
      <c r="BY107" s="52">
        <f>BY108+BY109+BY110</f>
        <v>0</v>
      </c>
      <c r="BZ107" s="52">
        <f>BZ108+BZ109+BZ110</f>
        <v>0</v>
      </c>
      <c r="CA107" s="52">
        <f t="shared" si="251"/>
        <v>0</v>
      </c>
      <c r="CB107" s="109">
        <f>IF(BY107=0,0,CA107/BY107)</f>
        <v>0</v>
      </c>
      <c r="CC107" s="52">
        <f>CC108+CC109+CC110</f>
        <v>0</v>
      </c>
      <c r="CD107" s="52">
        <f>CD108+CD109+CD110</f>
        <v>0</v>
      </c>
      <c r="CE107" s="52"/>
      <c r="CF107" s="52"/>
      <c r="CG107" s="52">
        <f>CG108+CG109+CG110</f>
        <v>0</v>
      </c>
      <c r="CH107" s="152">
        <f>CH108+CH109+CH110</f>
        <v>0</v>
      </c>
      <c r="CI107" s="52">
        <f t="shared" si="252"/>
        <v>0</v>
      </c>
      <c r="CJ107" s="109">
        <f>IF(CG107=0,0,CI107/CG107)</f>
        <v>0</v>
      </c>
      <c r="CK107" s="52">
        <f>CK108+CK109+CK110</f>
        <v>0</v>
      </c>
      <c r="CL107" s="52">
        <f>CL108+CL109+CL110</f>
        <v>0</v>
      </c>
      <c r="CM107" s="52"/>
      <c r="CN107" s="52"/>
      <c r="CO107" s="52">
        <f>CO108+CO109+CO110</f>
        <v>0</v>
      </c>
      <c r="CP107" s="52">
        <f>CP108+CP109+CP110</f>
        <v>0</v>
      </c>
      <c r="CQ107" s="52">
        <f t="shared" si="253"/>
        <v>0</v>
      </c>
      <c r="CR107" s="109">
        <f>IF(CO107=0,0,CQ107/CO107)</f>
        <v>0</v>
      </c>
      <c r="CS107" s="52">
        <f>CS108+CS109+CS110</f>
        <v>0</v>
      </c>
      <c r="CT107" s="52">
        <f>CT108+CT109+CT110</f>
        <v>0</v>
      </c>
      <c r="CU107" s="52"/>
      <c r="CV107" s="52"/>
      <c r="CW107" s="52">
        <f>CW108+CW109+CW110</f>
        <v>0</v>
      </c>
      <c r="CX107" s="52">
        <f>CX108+CX109+CX110</f>
        <v>0</v>
      </c>
      <c r="CY107" s="52">
        <f t="shared" si="254"/>
        <v>0</v>
      </c>
      <c r="CZ107" s="109">
        <f>IF(CW107=0,0,CY107/CW107)</f>
        <v>0</v>
      </c>
      <c r="DA107" s="52" t="e">
        <f>DA108+DA109+DA110</f>
        <v>#REF!</v>
      </c>
      <c r="DB107" s="84">
        <f>DB108+DB109+DB110</f>
        <v>0</v>
      </c>
      <c r="DC107" s="52" t="e">
        <f>DC108+DC109+DC110</f>
        <v>#REF!</v>
      </c>
      <c r="DD107" s="52" t="e">
        <f t="shared" si="255"/>
        <v>#REF!</v>
      </c>
      <c r="DE107" s="113">
        <f>IF(DB107=0,0,DD107/DB107)</f>
        <v>0</v>
      </c>
    </row>
    <row r="108" spans="1:109" ht="15.75" hidden="1">
      <c r="A108" s="98" t="s">
        <v>142</v>
      </c>
      <c r="B108" s="35" t="s">
        <v>124</v>
      </c>
      <c r="C108" s="10" t="s">
        <v>4</v>
      </c>
      <c r="D108" s="21"/>
      <c r="E108" s="21"/>
      <c r="F108" s="21"/>
      <c r="G108" s="21"/>
      <c r="H108" s="21"/>
      <c r="I108" s="21"/>
      <c r="J108" s="21"/>
      <c r="K108" s="52">
        <f t="shared" si="221"/>
        <v>0</v>
      </c>
      <c r="L108" s="109">
        <f aca="true" t="shared" si="256" ref="L108:L127">IF(I108=0,0,K108/I108)</f>
        <v>0</v>
      </c>
      <c r="M108" s="52"/>
      <c r="N108" s="21"/>
      <c r="O108" s="21"/>
      <c r="P108" s="21"/>
      <c r="Q108" s="21"/>
      <c r="R108" s="21"/>
      <c r="S108" s="21"/>
      <c r="T108" s="52">
        <f t="shared" si="244"/>
        <v>0</v>
      </c>
      <c r="U108" s="109">
        <f>IF(R108=0,0,T108/R108)</f>
        <v>0</v>
      </c>
      <c r="V108" s="21"/>
      <c r="W108" s="21"/>
      <c r="X108" s="21"/>
      <c r="Y108" s="21"/>
      <c r="Z108" s="21"/>
      <c r="AA108" s="21"/>
      <c r="AB108" s="21"/>
      <c r="AC108" s="52">
        <f t="shared" si="245"/>
        <v>0</v>
      </c>
      <c r="AD108" s="109">
        <f>IF(AA108=0,0,AC108/AA108)</f>
        <v>0</v>
      </c>
      <c r="AE108" s="21"/>
      <c r="AF108" s="21"/>
      <c r="AG108" s="21"/>
      <c r="AH108" s="21"/>
      <c r="AI108" s="21"/>
      <c r="AJ108" s="21"/>
      <c r="AK108" s="21"/>
      <c r="AL108" s="52">
        <f t="shared" si="246"/>
        <v>0</v>
      </c>
      <c r="AM108" s="109">
        <f>IF(AJ108=0,0,AL108/AJ108)</f>
        <v>0</v>
      </c>
      <c r="AN108" s="21"/>
      <c r="AO108" s="21"/>
      <c r="AP108" s="21"/>
      <c r="AQ108" s="21"/>
      <c r="AR108" s="21"/>
      <c r="AS108" s="21"/>
      <c r="AT108" s="21"/>
      <c r="AU108" s="52">
        <f t="shared" si="247"/>
        <v>0</v>
      </c>
      <c r="AV108" s="109">
        <f>IF(AS108=0,0,AU108/AS108)</f>
        <v>0</v>
      </c>
      <c r="AW108" s="21"/>
      <c r="AX108" s="21"/>
      <c r="AY108" s="21"/>
      <c r="AZ108" s="21"/>
      <c r="BA108" s="21"/>
      <c r="BB108" s="21"/>
      <c r="BC108" s="52">
        <f t="shared" si="248"/>
        <v>0</v>
      </c>
      <c r="BD108" s="109">
        <f>IF(BA108=0,0,BC108/BA108)</f>
        <v>0</v>
      </c>
      <c r="BE108" s="21"/>
      <c r="BF108" s="21"/>
      <c r="BG108" s="21"/>
      <c r="BH108" s="21"/>
      <c r="BI108" s="21"/>
      <c r="BJ108" s="21"/>
      <c r="BK108" s="52">
        <f t="shared" si="249"/>
        <v>0</v>
      </c>
      <c r="BL108" s="109">
        <f>IF(BI108=0,0,BK108/BI108)</f>
        <v>0</v>
      </c>
      <c r="BM108" s="21"/>
      <c r="BN108" s="21"/>
      <c r="BO108" s="21"/>
      <c r="BP108" s="21"/>
      <c r="BQ108" s="21"/>
      <c r="BR108" s="21"/>
      <c r="BS108" s="52">
        <f t="shared" si="250"/>
        <v>0</v>
      </c>
      <c r="BT108" s="109">
        <f>IF(BQ108=0,0,BS108/BQ108)</f>
        <v>0</v>
      </c>
      <c r="BU108" s="21"/>
      <c r="BV108" s="21"/>
      <c r="BW108" s="21"/>
      <c r="BX108" s="21"/>
      <c r="BY108" s="21"/>
      <c r="BZ108" s="21"/>
      <c r="CA108" s="52">
        <f t="shared" si="251"/>
        <v>0</v>
      </c>
      <c r="CB108" s="109">
        <f>IF(BY108=0,0,CA108/BY108)</f>
        <v>0</v>
      </c>
      <c r="CC108" s="21"/>
      <c r="CD108" s="21"/>
      <c r="CE108" s="21"/>
      <c r="CF108" s="21"/>
      <c r="CG108" s="21"/>
      <c r="CH108" s="141"/>
      <c r="CI108" s="52">
        <f t="shared" si="252"/>
        <v>0</v>
      </c>
      <c r="CJ108" s="109">
        <f>IF(CG108=0,0,CI108/CG108)</f>
        <v>0</v>
      </c>
      <c r="CK108" s="21"/>
      <c r="CL108" s="21"/>
      <c r="CM108" s="21"/>
      <c r="CN108" s="21"/>
      <c r="CO108" s="21"/>
      <c r="CP108" s="21"/>
      <c r="CQ108" s="52">
        <f t="shared" si="253"/>
        <v>0</v>
      </c>
      <c r="CR108" s="109">
        <f>IF(CO108=0,0,CQ108/CO108)</f>
        <v>0</v>
      </c>
      <c r="CS108" s="21"/>
      <c r="CT108" s="21"/>
      <c r="CU108" s="21"/>
      <c r="CV108" s="21"/>
      <c r="CW108" s="21"/>
      <c r="CX108" s="21"/>
      <c r="CY108" s="52">
        <f t="shared" si="254"/>
        <v>0</v>
      </c>
      <c r="CZ108" s="109">
        <f>IF(CW108=0,0,CY108/CW108)</f>
        <v>0</v>
      </c>
      <c r="DA108" s="50" t="e">
        <f>J108+IF(#REF!&gt;=2,S108,0)+IF(#REF!&gt;=3,AB108,0)+IF(#REF!&gt;=4,AK108,0)+IF(#REF!&gt;=5,AT108,0)+IF(#REF!&gt;=6,BB108,0)+IF(#REF!&gt;=7,BJ108,0)+IF(#REF!&gt;=8,BR108,0)+IF(#REF!&gt;=9,BZ108,0)+IF(#REF!&gt;=10,CH108,0)+IF(#REF!&gt;=11,CP108,0)+IF(#REF!&gt;=12,CX108,0)</f>
        <v>#REF!</v>
      </c>
      <c r="DB108" s="84">
        <f>I108+R108+AA108+AJ108+AS108+BA108+BI108+BQ108+BY108+CG108+CO108+CW108</f>
        <v>0</v>
      </c>
      <c r="DC108" s="106" t="e">
        <f>IF(#REF!&gt;=1,J108,I108)+IF(#REF!&gt;=2,S108,R108)+IF(#REF!&gt;=3,AB108,AA108)+IF(#REF!&gt;=4,AK108,AJ108)+IF(#REF!&gt;=5,AT108,AS108)+IF(#REF!&gt;=6,BB108,BA108)+IF(#REF!&gt;=7,BJ108,BI108)+IF(#REF!&gt;=8,BR108,BQ108)+IF(#REF!&gt;=9,BZ108,BY108)+IF(#REF!&gt;=10,CH108,CG108)+IF(#REF!&gt;=11,CP108,CO108)+IF(#REF!&gt;=12,CX108,CW108)</f>
        <v>#REF!</v>
      </c>
      <c r="DD108" s="52" t="e">
        <f t="shared" si="255"/>
        <v>#REF!</v>
      </c>
      <c r="DE108" s="113">
        <f>IF(DB108=0,0,DD108/DB108)</f>
        <v>0</v>
      </c>
    </row>
    <row r="109" spans="1:109" ht="15.75" hidden="1">
      <c r="A109" s="98" t="s">
        <v>143</v>
      </c>
      <c r="B109" s="35" t="s">
        <v>126</v>
      </c>
      <c r="C109" s="10" t="s">
        <v>4</v>
      </c>
      <c r="D109" s="17"/>
      <c r="E109" s="17"/>
      <c r="F109" s="17"/>
      <c r="G109" s="17"/>
      <c r="H109" s="17"/>
      <c r="I109" s="17"/>
      <c r="J109" s="17"/>
      <c r="K109" s="52">
        <f t="shared" si="221"/>
        <v>0</v>
      </c>
      <c r="L109" s="109">
        <f t="shared" si="256"/>
        <v>0</v>
      </c>
      <c r="M109" s="32"/>
      <c r="N109" s="17"/>
      <c r="O109" s="17"/>
      <c r="P109" s="17"/>
      <c r="Q109" s="17"/>
      <c r="R109" s="17"/>
      <c r="S109" s="17"/>
      <c r="T109" s="52">
        <f t="shared" si="244"/>
        <v>0</v>
      </c>
      <c r="U109" s="109">
        <f>IF(R109=0,0,T109/R109)</f>
        <v>0</v>
      </c>
      <c r="V109" s="17"/>
      <c r="W109" s="17"/>
      <c r="X109" s="17"/>
      <c r="Y109" s="17"/>
      <c r="Z109" s="17"/>
      <c r="AA109" s="17"/>
      <c r="AB109" s="17"/>
      <c r="AC109" s="52">
        <f t="shared" si="245"/>
        <v>0</v>
      </c>
      <c r="AD109" s="109">
        <f>IF(AA109=0,0,AC109/AA109)</f>
        <v>0</v>
      </c>
      <c r="AE109" s="17"/>
      <c r="AF109" s="17"/>
      <c r="AG109" s="17"/>
      <c r="AH109" s="17"/>
      <c r="AI109" s="17"/>
      <c r="AJ109" s="17"/>
      <c r="AK109" s="17"/>
      <c r="AL109" s="52">
        <f t="shared" si="246"/>
        <v>0</v>
      </c>
      <c r="AM109" s="109">
        <f>IF(AJ109=0,0,AL109/AJ109)</f>
        <v>0</v>
      </c>
      <c r="AN109" s="17"/>
      <c r="AO109" s="17"/>
      <c r="AP109" s="17"/>
      <c r="AQ109" s="17"/>
      <c r="AR109" s="17"/>
      <c r="AS109" s="17"/>
      <c r="AT109" s="17"/>
      <c r="AU109" s="52">
        <f t="shared" si="247"/>
        <v>0</v>
      </c>
      <c r="AV109" s="109">
        <f>IF(AS109=0,0,AU109/AS109)</f>
        <v>0</v>
      </c>
      <c r="AW109" s="17"/>
      <c r="AX109" s="17"/>
      <c r="AY109" s="17"/>
      <c r="AZ109" s="17"/>
      <c r="BA109" s="17"/>
      <c r="BB109" s="17"/>
      <c r="BC109" s="52">
        <f t="shared" si="248"/>
        <v>0</v>
      </c>
      <c r="BD109" s="109">
        <f>IF(BA109=0,0,BC109/BA109)</f>
        <v>0</v>
      </c>
      <c r="BE109" s="17"/>
      <c r="BF109" s="17"/>
      <c r="BG109" s="17"/>
      <c r="BH109" s="17"/>
      <c r="BI109" s="17"/>
      <c r="BJ109" s="17"/>
      <c r="BK109" s="52">
        <f t="shared" si="249"/>
        <v>0</v>
      </c>
      <c r="BL109" s="109">
        <f>IF(BI109=0,0,BK109/BI109)</f>
        <v>0</v>
      </c>
      <c r="BM109" s="17"/>
      <c r="BN109" s="17"/>
      <c r="BO109" s="17"/>
      <c r="BP109" s="17"/>
      <c r="BQ109" s="17"/>
      <c r="BR109" s="17"/>
      <c r="BS109" s="52">
        <f t="shared" si="250"/>
        <v>0</v>
      </c>
      <c r="BT109" s="109">
        <f>IF(BQ109=0,0,BS109/BQ109)</f>
        <v>0</v>
      </c>
      <c r="BU109" s="17"/>
      <c r="BV109" s="17"/>
      <c r="BW109" s="17"/>
      <c r="BX109" s="17"/>
      <c r="BY109" s="17"/>
      <c r="BZ109" s="17"/>
      <c r="CA109" s="52">
        <f t="shared" si="251"/>
        <v>0</v>
      </c>
      <c r="CB109" s="109">
        <f>IF(BY109=0,0,CA109/BY109)</f>
        <v>0</v>
      </c>
      <c r="CC109" s="17"/>
      <c r="CD109" s="17"/>
      <c r="CE109" s="17"/>
      <c r="CF109" s="17"/>
      <c r="CG109" s="17"/>
      <c r="CH109" s="141"/>
      <c r="CI109" s="52">
        <f t="shared" si="252"/>
        <v>0</v>
      </c>
      <c r="CJ109" s="109">
        <f>IF(CG109=0,0,CI109/CG109)</f>
        <v>0</v>
      </c>
      <c r="CK109" s="17"/>
      <c r="CL109" s="17"/>
      <c r="CM109" s="17"/>
      <c r="CN109" s="17"/>
      <c r="CO109" s="17"/>
      <c r="CP109" s="17"/>
      <c r="CQ109" s="52">
        <f t="shared" si="253"/>
        <v>0</v>
      </c>
      <c r="CR109" s="109">
        <f>IF(CO109=0,0,CQ109/CO109)</f>
        <v>0</v>
      </c>
      <c r="CS109" s="17"/>
      <c r="CT109" s="17"/>
      <c r="CU109" s="17"/>
      <c r="CV109" s="17"/>
      <c r="CW109" s="17"/>
      <c r="CX109" s="17"/>
      <c r="CY109" s="52">
        <f t="shared" si="254"/>
        <v>0</v>
      </c>
      <c r="CZ109" s="109">
        <f>IF(CW109=0,0,CY109/CW109)</f>
        <v>0</v>
      </c>
      <c r="DA109" s="50" t="e">
        <f>J109+IF(#REF!&gt;=2,S109,0)+IF(#REF!&gt;=3,AB109,0)+IF(#REF!&gt;=4,AK109,0)+IF(#REF!&gt;=5,AT109,0)+IF(#REF!&gt;=6,BB109,0)+IF(#REF!&gt;=7,BJ109,0)+IF(#REF!&gt;=8,BR109,0)+IF(#REF!&gt;=9,BZ109,0)+IF(#REF!&gt;=10,CH109,0)+IF(#REF!&gt;=11,CP109,0)+IF(#REF!&gt;=12,CX109,0)</f>
        <v>#REF!</v>
      </c>
      <c r="DB109" s="84">
        <f>I109+R109+AA109+AJ109+AS109+BA109+BI109+BQ109+BY109+CG109+CO109+CW109</f>
        <v>0</v>
      </c>
      <c r="DC109" s="106" t="e">
        <f>IF(#REF!&gt;=1,J109,I109)+IF(#REF!&gt;=2,S109,R109)+IF(#REF!&gt;=3,AB109,AA109)+IF(#REF!&gt;=4,AK109,AJ109)+IF(#REF!&gt;=5,AT109,AS109)+IF(#REF!&gt;=6,BB109,BA109)+IF(#REF!&gt;=7,BJ109,BI109)+IF(#REF!&gt;=8,BR109,BQ109)+IF(#REF!&gt;=9,BZ109,BY109)+IF(#REF!&gt;=10,CH109,CG109)+IF(#REF!&gt;=11,CP109,CO109)+IF(#REF!&gt;=12,CX109,CW109)</f>
        <v>#REF!</v>
      </c>
      <c r="DD109" s="52" t="e">
        <f t="shared" si="255"/>
        <v>#REF!</v>
      </c>
      <c r="DE109" s="113">
        <f>IF(DB109=0,0,DD109/DB109)</f>
        <v>0</v>
      </c>
    </row>
    <row r="110" spans="1:109" ht="15.75" hidden="1">
      <c r="A110" s="98" t="s">
        <v>144</v>
      </c>
      <c r="B110" s="35" t="s">
        <v>46</v>
      </c>
      <c r="C110" s="10" t="s">
        <v>4</v>
      </c>
      <c r="D110" s="21"/>
      <c r="E110" s="21"/>
      <c r="F110" s="21"/>
      <c r="G110" s="21"/>
      <c r="H110" s="21"/>
      <c r="I110" s="21"/>
      <c r="J110" s="21"/>
      <c r="K110" s="52">
        <f t="shared" si="221"/>
        <v>0</v>
      </c>
      <c r="L110" s="109">
        <f t="shared" si="256"/>
        <v>0</v>
      </c>
      <c r="M110" s="33"/>
      <c r="N110" s="21"/>
      <c r="O110" s="21"/>
      <c r="P110" s="21"/>
      <c r="Q110" s="21"/>
      <c r="R110" s="21"/>
      <c r="S110" s="21"/>
      <c r="T110" s="52">
        <f t="shared" si="244"/>
        <v>0</v>
      </c>
      <c r="U110" s="109">
        <f>IF(R110=0,0,T110/R110)</f>
        <v>0</v>
      </c>
      <c r="V110" s="21"/>
      <c r="W110" s="21"/>
      <c r="X110" s="21"/>
      <c r="Y110" s="21"/>
      <c r="Z110" s="21"/>
      <c r="AA110" s="21"/>
      <c r="AB110" s="21"/>
      <c r="AC110" s="52">
        <f t="shared" si="245"/>
        <v>0</v>
      </c>
      <c r="AD110" s="109">
        <f>IF(AA110=0,0,AC110/AA110)</f>
        <v>0</v>
      </c>
      <c r="AE110" s="21"/>
      <c r="AF110" s="21"/>
      <c r="AG110" s="21"/>
      <c r="AH110" s="21"/>
      <c r="AI110" s="21"/>
      <c r="AJ110" s="21"/>
      <c r="AK110" s="21"/>
      <c r="AL110" s="52">
        <f t="shared" si="246"/>
        <v>0</v>
      </c>
      <c r="AM110" s="109">
        <f>IF(AJ110=0,0,AL110/AJ110)</f>
        <v>0</v>
      </c>
      <c r="AN110" s="21"/>
      <c r="AO110" s="21"/>
      <c r="AP110" s="21"/>
      <c r="AQ110" s="21"/>
      <c r="AR110" s="21"/>
      <c r="AS110" s="21"/>
      <c r="AT110" s="21"/>
      <c r="AU110" s="52">
        <f t="shared" si="247"/>
        <v>0</v>
      </c>
      <c r="AV110" s="109">
        <f>IF(AS110=0,0,AU110/AS110)</f>
        <v>0</v>
      </c>
      <c r="AW110" s="21"/>
      <c r="AX110" s="21"/>
      <c r="AY110" s="21"/>
      <c r="AZ110" s="21"/>
      <c r="BA110" s="21"/>
      <c r="BB110" s="21"/>
      <c r="BC110" s="52">
        <f t="shared" si="248"/>
        <v>0</v>
      </c>
      <c r="BD110" s="109">
        <f>IF(BA110=0,0,BC110/BA110)</f>
        <v>0</v>
      </c>
      <c r="BE110" s="21"/>
      <c r="BF110" s="21"/>
      <c r="BG110" s="21"/>
      <c r="BH110" s="21"/>
      <c r="BI110" s="21"/>
      <c r="BJ110" s="21"/>
      <c r="BK110" s="52">
        <f t="shared" si="249"/>
        <v>0</v>
      </c>
      <c r="BL110" s="109">
        <f>IF(BI110=0,0,BK110/BI110)</f>
        <v>0</v>
      </c>
      <c r="BM110" s="21"/>
      <c r="BN110" s="21"/>
      <c r="BO110" s="21"/>
      <c r="BP110" s="21"/>
      <c r="BQ110" s="21"/>
      <c r="BR110" s="21"/>
      <c r="BS110" s="52">
        <f t="shared" si="250"/>
        <v>0</v>
      </c>
      <c r="BT110" s="109">
        <f>IF(BQ110=0,0,BS110/BQ110)</f>
        <v>0</v>
      </c>
      <c r="BU110" s="21"/>
      <c r="BV110" s="21"/>
      <c r="BW110" s="21"/>
      <c r="BX110" s="21"/>
      <c r="BY110" s="21"/>
      <c r="BZ110" s="21"/>
      <c r="CA110" s="52">
        <f t="shared" si="251"/>
        <v>0</v>
      </c>
      <c r="CB110" s="109">
        <f>IF(BY110=0,0,CA110/BY110)</f>
        <v>0</v>
      </c>
      <c r="CC110" s="21"/>
      <c r="CD110" s="21"/>
      <c r="CE110" s="21"/>
      <c r="CF110" s="21"/>
      <c r="CG110" s="21"/>
      <c r="CH110" s="141"/>
      <c r="CI110" s="52">
        <f t="shared" si="252"/>
        <v>0</v>
      </c>
      <c r="CJ110" s="109">
        <f>IF(CG110=0,0,CI110/CG110)</f>
        <v>0</v>
      </c>
      <c r="CK110" s="21"/>
      <c r="CL110" s="21"/>
      <c r="CM110" s="21"/>
      <c r="CN110" s="21"/>
      <c r="CO110" s="21"/>
      <c r="CP110" s="21"/>
      <c r="CQ110" s="52">
        <f t="shared" si="253"/>
        <v>0</v>
      </c>
      <c r="CR110" s="109">
        <f>IF(CO110=0,0,CQ110/CO110)</f>
        <v>0</v>
      </c>
      <c r="CS110" s="21"/>
      <c r="CT110" s="21"/>
      <c r="CU110" s="21"/>
      <c r="CV110" s="21"/>
      <c r="CW110" s="21"/>
      <c r="CX110" s="21"/>
      <c r="CY110" s="52">
        <f t="shared" si="254"/>
        <v>0</v>
      </c>
      <c r="CZ110" s="109">
        <f>IF(CW110=0,0,CY110/CW110)</f>
        <v>0</v>
      </c>
      <c r="DA110" s="50" t="e">
        <f>J110+IF(#REF!&gt;=2,S110,0)+IF(#REF!&gt;=3,AB110,0)+IF(#REF!&gt;=4,AK110,0)+IF(#REF!&gt;=5,AT110,0)+IF(#REF!&gt;=6,BB110,0)+IF(#REF!&gt;=7,BJ110,0)+IF(#REF!&gt;=8,BR110,0)+IF(#REF!&gt;=9,BZ110,0)+IF(#REF!&gt;=10,CH110,0)+IF(#REF!&gt;=11,CP110,0)+IF(#REF!&gt;=12,CX110,0)</f>
        <v>#REF!</v>
      </c>
      <c r="DB110" s="84">
        <f>I110+R110+AA110+AJ110+AS110+BA110+BI110+BQ110+BY110+CG110+CO110+CW110</f>
        <v>0</v>
      </c>
      <c r="DC110" s="106" t="e">
        <f>IF(#REF!&gt;=1,J110,I110)+IF(#REF!&gt;=2,S110,R110)+IF(#REF!&gt;=3,AB110,AA110)+IF(#REF!&gt;=4,AK110,AJ110)+IF(#REF!&gt;=5,AT110,AS110)+IF(#REF!&gt;=6,BB110,BA110)+IF(#REF!&gt;=7,BJ110,BI110)+IF(#REF!&gt;=8,BR110,BQ110)+IF(#REF!&gt;=9,BZ110,BY110)+IF(#REF!&gt;=10,CH110,CG110)+IF(#REF!&gt;=11,CP110,CO110)+IF(#REF!&gt;=12,CX110,CW110)</f>
        <v>#REF!</v>
      </c>
      <c r="DD110" s="52" t="e">
        <f t="shared" si="255"/>
        <v>#REF!</v>
      </c>
      <c r="DE110" s="113">
        <f>IF(DB110=0,0,DD110/DB110)</f>
        <v>0</v>
      </c>
    </row>
    <row r="111" spans="1:109" ht="31.5" hidden="1">
      <c r="A111" s="98" t="s">
        <v>145</v>
      </c>
      <c r="B111" s="18" t="s">
        <v>48</v>
      </c>
      <c r="C111" s="31" t="s">
        <v>4</v>
      </c>
      <c r="D111" s="21"/>
      <c r="E111" s="21"/>
      <c r="F111" s="21"/>
      <c r="G111" s="21"/>
      <c r="H111" s="21"/>
      <c r="I111" s="21"/>
      <c r="J111" s="21"/>
      <c r="K111" s="52" t="s">
        <v>250</v>
      </c>
      <c r="L111" s="52" t="s">
        <v>250</v>
      </c>
      <c r="M111" s="33"/>
      <c r="N111" s="21"/>
      <c r="O111" s="21"/>
      <c r="P111" s="21"/>
      <c r="Q111" s="21"/>
      <c r="R111" s="21"/>
      <c r="S111" s="21"/>
      <c r="T111" s="52" t="s">
        <v>250</v>
      </c>
      <c r="U111" s="52" t="s">
        <v>250</v>
      </c>
      <c r="V111" s="21"/>
      <c r="W111" s="21"/>
      <c r="X111" s="21"/>
      <c r="Y111" s="21"/>
      <c r="Z111" s="21"/>
      <c r="AA111" s="21"/>
      <c r="AB111" s="21"/>
      <c r="AC111" s="52" t="s">
        <v>250</v>
      </c>
      <c r="AD111" s="52" t="s">
        <v>250</v>
      </c>
      <c r="AE111" s="21"/>
      <c r="AF111" s="21"/>
      <c r="AG111" s="21"/>
      <c r="AH111" s="21"/>
      <c r="AI111" s="21"/>
      <c r="AJ111" s="21"/>
      <c r="AK111" s="21"/>
      <c r="AL111" s="52" t="s">
        <v>250</v>
      </c>
      <c r="AM111" s="52" t="s">
        <v>250</v>
      </c>
      <c r="AN111" s="21"/>
      <c r="AO111" s="21"/>
      <c r="AP111" s="21"/>
      <c r="AQ111" s="21"/>
      <c r="AR111" s="21"/>
      <c r="AS111" s="21"/>
      <c r="AT111" s="21"/>
      <c r="AU111" s="52" t="s">
        <v>250</v>
      </c>
      <c r="AV111" s="52" t="s">
        <v>250</v>
      </c>
      <c r="AW111" s="21"/>
      <c r="AX111" s="21"/>
      <c r="AY111" s="21"/>
      <c r="AZ111" s="21"/>
      <c r="BA111" s="21"/>
      <c r="BB111" s="21"/>
      <c r="BC111" s="52" t="s">
        <v>250</v>
      </c>
      <c r="BD111" s="52" t="s">
        <v>250</v>
      </c>
      <c r="BE111" s="21"/>
      <c r="BF111" s="21"/>
      <c r="BG111" s="21"/>
      <c r="BH111" s="21"/>
      <c r="BI111" s="21"/>
      <c r="BJ111" s="21"/>
      <c r="BK111" s="52" t="s">
        <v>250</v>
      </c>
      <c r="BL111" s="52" t="s">
        <v>250</v>
      </c>
      <c r="BM111" s="21"/>
      <c r="BN111" s="21"/>
      <c r="BO111" s="21"/>
      <c r="BP111" s="21"/>
      <c r="BQ111" s="21"/>
      <c r="BR111" s="21"/>
      <c r="BS111" s="52" t="s">
        <v>250</v>
      </c>
      <c r="BT111" s="52" t="s">
        <v>250</v>
      </c>
      <c r="BU111" s="21"/>
      <c r="BV111" s="21"/>
      <c r="BW111" s="21"/>
      <c r="BX111" s="21"/>
      <c r="BY111" s="21"/>
      <c r="BZ111" s="21"/>
      <c r="CA111" s="52" t="s">
        <v>250</v>
      </c>
      <c r="CB111" s="52" t="s">
        <v>250</v>
      </c>
      <c r="CC111" s="21"/>
      <c r="CD111" s="21"/>
      <c r="CE111" s="21"/>
      <c r="CF111" s="21"/>
      <c r="CG111" s="21"/>
      <c r="CH111" s="141"/>
      <c r="CI111" s="52" t="s">
        <v>250</v>
      </c>
      <c r="CJ111" s="52" t="s">
        <v>250</v>
      </c>
      <c r="CK111" s="21"/>
      <c r="CL111" s="21"/>
      <c r="CM111" s="21"/>
      <c r="CN111" s="21"/>
      <c r="CO111" s="21"/>
      <c r="CP111" s="21"/>
      <c r="CQ111" s="52" t="s">
        <v>250</v>
      </c>
      <c r="CR111" s="52" t="s">
        <v>250</v>
      </c>
      <c r="CS111" s="21"/>
      <c r="CT111" s="21"/>
      <c r="CU111" s="21"/>
      <c r="CV111" s="21"/>
      <c r="CW111" s="21"/>
      <c r="CX111" s="21"/>
      <c r="CY111" s="52" t="s">
        <v>250</v>
      </c>
      <c r="CZ111" s="52" t="s">
        <v>250</v>
      </c>
      <c r="DA111" s="50" t="e">
        <f>J111+IF(#REF!&gt;=2,S111,0)+IF(#REF!&gt;=3,AB111,0)+IF(#REF!&gt;=4,AK111,0)+IF(#REF!&gt;=5,AT111,0)+IF(#REF!&gt;=6,BB111,0)+IF(#REF!&gt;=7,BJ111,0)+IF(#REF!&gt;=8,BR111,0)+IF(#REF!&gt;=9,BZ111,0)+IF(#REF!&gt;=10,CH111,0)+IF(#REF!&gt;=11,CP111,0)+IF(#REF!&gt;=12,CX111,0)</f>
        <v>#REF!</v>
      </c>
      <c r="DB111" s="84">
        <f>I111+R111+AA111+AJ111+AS111+BA111+BI111+BQ111+BY111+CG111+CO111+CW111</f>
        <v>0</v>
      </c>
      <c r="DC111" s="106" t="e">
        <f>IF(#REF!&gt;=1,J111,I111)+IF(#REF!&gt;=2,S111,R111)+IF(#REF!&gt;=3,AB111,AA111)+IF(#REF!&gt;=4,AK111,AJ111)+IF(#REF!&gt;=5,AT111,AS111)+IF(#REF!&gt;=6,BB111,BA111)+IF(#REF!&gt;=7,BJ111,BI111)+IF(#REF!&gt;=8,BR111,BQ111)+IF(#REF!&gt;=9,BZ111,BY111)+IF(#REF!&gt;=10,CH111,CG111)+IF(#REF!&gt;=11,CP111,CO111)+IF(#REF!&gt;=12,CX111,CW111)</f>
        <v>#REF!</v>
      </c>
      <c r="DD111" s="52" t="s">
        <v>250</v>
      </c>
      <c r="DE111" s="83" t="s">
        <v>250</v>
      </c>
    </row>
    <row r="112" spans="1:109" ht="15.75" hidden="1">
      <c r="A112" s="98" t="s">
        <v>146</v>
      </c>
      <c r="B112" s="220" t="s">
        <v>61</v>
      </c>
      <c r="C112" s="10" t="s">
        <v>4</v>
      </c>
      <c r="D112" s="52">
        <f>D100-D103-D107</f>
        <v>0</v>
      </c>
      <c r="E112" s="52">
        <f>E100-E103-E107</f>
        <v>0</v>
      </c>
      <c r="F112" s="52"/>
      <c r="G112" s="52"/>
      <c r="H112" s="52"/>
      <c r="I112" s="52">
        <f>I100-I103-I107</f>
        <v>0</v>
      </c>
      <c r="J112" s="52">
        <f>J100-J103-J107</f>
        <v>0</v>
      </c>
      <c r="K112" s="52">
        <f t="shared" si="221"/>
        <v>0</v>
      </c>
      <c r="L112" s="52" t="s">
        <v>250</v>
      </c>
      <c r="M112" s="17">
        <f>M100-M103-M107</f>
        <v>0</v>
      </c>
      <c r="N112" s="52">
        <f>N100-N103-N107</f>
        <v>0</v>
      </c>
      <c r="O112" s="52"/>
      <c r="P112" s="52"/>
      <c r="Q112" s="52"/>
      <c r="R112" s="52">
        <f>R100-R103-R107</f>
        <v>0</v>
      </c>
      <c r="S112" s="52">
        <f>S100-S103-S107</f>
        <v>0</v>
      </c>
      <c r="T112" s="52">
        <f aca="true" t="shared" si="257" ref="T112:T131">S112-R112</f>
        <v>0</v>
      </c>
      <c r="U112" s="52" t="s">
        <v>250</v>
      </c>
      <c r="V112" s="52">
        <f>V100-V103-V107</f>
        <v>0</v>
      </c>
      <c r="W112" s="52">
        <f>W100-W103-W107</f>
        <v>0</v>
      </c>
      <c r="X112" s="52"/>
      <c r="Y112" s="52"/>
      <c r="Z112" s="52"/>
      <c r="AA112" s="52">
        <f>AA100-AA103-AA107</f>
        <v>0</v>
      </c>
      <c r="AB112" s="52">
        <f>AB100-AB103-AB107</f>
        <v>0</v>
      </c>
      <c r="AC112" s="52">
        <f aca="true" t="shared" si="258" ref="AC112:AC131">AB112-AA112</f>
        <v>0</v>
      </c>
      <c r="AD112" s="52" t="s">
        <v>250</v>
      </c>
      <c r="AE112" s="52">
        <f>AE100-AE103-AE107</f>
        <v>0</v>
      </c>
      <c r="AF112" s="52">
        <f>AF100-AF103-AF107</f>
        <v>0</v>
      </c>
      <c r="AG112" s="52"/>
      <c r="AH112" s="52"/>
      <c r="AI112" s="52"/>
      <c r="AJ112" s="52">
        <f>AJ100-AJ103-AJ107</f>
        <v>0</v>
      </c>
      <c r="AK112" s="52">
        <f>AK100-AK103-AK107</f>
        <v>0</v>
      </c>
      <c r="AL112" s="52">
        <f aca="true" t="shared" si="259" ref="AL112:AL131">AK112-AJ112</f>
        <v>0</v>
      </c>
      <c r="AM112" s="52" t="s">
        <v>250</v>
      </c>
      <c r="AN112" s="52">
        <f>AN100-AN103-AN107</f>
        <v>0</v>
      </c>
      <c r="AO112" s="52">
        <f>AO100-AO103-AO107</f>
        <v>0</v>
      </c>
      <c r="AP112" s="52"/>
      <c r="AQ112" s="52"/>
      <c r="AR112" s="52"/>
      <c r="AS112" s="52">
        <f>AS100-AS103-AS107</f>
        <v>0</v>
      </c>
      <c r="AT112" s="52">
        <f>AT100-AT103-AT107</f>
        <v>0</v>
      </c>
      <c r="AU112" s="52">
        <f aca="true" t="shared" si="260" ref="AU112:AU131">AT112-AS112</f>
        <v>0</v>
      </c>
      <c r="AV112" s="52" t="s">
        <v>250</v>
      </c>
      <c r="AW112" s="52">
        <f>AW100-AW103-AW107</f>
        <v>0</v>
      </c>
      <c r="AX112" s="52">
        <f>AX100-AX103-AX107</f>
        <v>0</v>
      </c>
      <c r="AY112" s="52"/>
      <c r="AZ112" s="52"/>
      <c r="BA112" s="52">
        <f>BA100-BA103-BA107</f>
        <v>0</v>
      </c>
      <c r="BB112" s="52">
        <f>BB100-BB103-BB107</f>
        <v>0</v>
      </c>
      <c r="BC112" s="52">
        <f aca="true" t="shared" si="261" ref="BC112:BC131">BB112-BA112</f>
        <v>0</v>
      </c>
      <c r="BD112" s="52" t="s">
        <v>250</v>
      </c>
      <c r="BE112" s="52">
        <f>BE100-BE103-BE107</f>
        <v>0</v>
      </c>
      <c r="BF112" s="52"/>
      <c r="BG112" s="52">
        <f>BG100-BG103-BG107</f>
        <v>0</v>
      </c>
      <c r="BH112" s="52"/>
      <c r="BI112" s="52">
        <f>BI100-BI103-BI107</f>
        <v>0</v>
      </c>
      <c r="BJ112" s="52">
        <f>BJ100-BJ103-BJ107</f>
        <v>0</v>
      </c>
      <c r="BK112" s="52">
        <f aca="true" t="shared" si="262" ref="BK112:BK131">BJ112-BI112</f>
        <v>0</v>
      </c>
      <c r="BL112" s="52" t="s">
        <v>250</v>
      </c>
      <c r="BM112" s="52">
        <f>BM100-BM103-BM107</f>
        <v>0</v>
      </c>
      <c r="BN112" s="52">
        <f>BN100-BN103-BN107</f>
        <v>0</v>
      </c>
      <c r="BO112" s="52"/>
      <c r="BP112" s="52"/>
      <c r="BQ112" s="52">
        <f>BQ100-BQ103-BQ107</f>
        <v>0</v>
      </c>
      <c r="BR112" s="52">
        <f>BR100-BR103-BR107</f>
        <v>0</v>
      </c>
      <c r="BS112" s="52">
        <f aca="true" t="shared" si="263" ref="BS112:BS131">BR112-BQ112</f>
        <v>0</v>
      </c>
      <c r="BT112" s="52" t="s">
        <v>250</v>
      </c>
      <c r="BU112" s="52">
        <f>BU100-BU103-BU107</f>
        <v>0</v>
      </c>
      <c r="BV112" s="52">
        <f>BV100-BV103-BV107</f>
        <v>0</v>
      </c>
      <c r="BW112" s="52"/>
      <c r="BX112" s="52"/>
      <c r="BY112" s="52">
        <f>BY100-BY103-BY107</f>
        <v>0</v>
      </c>
      <c r="BZ112" s="52">
        <f>BZ100-BZ103-BZ107</f>
        <v>0</v>
      </c>
      <c r="CA112" s="52">
        <f aca="true" t="shared" si="264" ref="CA112:CA131">BZ112-BY112</f>
        <v>0</v>
      </c>
      <c r="CB112" s="52" t="s">
        <v>250</v>
      </c>
      <c r="CC112" s="52">
        <f>CC100-CC103-CC107</f>
        <v>0</v>
      </c>
      <c r="CD112" s="52">
        <f>CD100-CD103-CD107</f>
        <v>0</v>
      </c>
      <c r="CE112" s="52"/>
      <c r="CF112" s="52"/>
      <c r="CG112" s="52">
        <f>CG100-CG103-CG107</f>
        <v>0</v>
      </c>
      <c r="CH112" s="152">
        <f>CH100-CH103-CH107</f>
        <v>0</v>
      </c>
      <c r="CI112" s="52">
        <f aca="true" t="shared" si="265" ref="CI112:CI131">CH112-CG112</f>
        <v>0</v>
      </c>
      <c r="CJ112" s="52" t="s">
        <v>250</v>
      </c>
      <c r="CK112" s="52">
        <f>CK100-CK103-CK107</f>
        <v>0</v>
      </c>
      <c r="CL112" s="52">
        <f>CL100-CL103-CL107</f>
        <v>0</v>
      </c>
      <c r="CM112" s="52"/>
      <c r="CN112" s="52"/>
      <c r="CO112" s="52">
        <f>CO100-CO103-CO107</f>
        <v>0</v>
      </c>
      <c r="CP112" s="52">
        <f>CP100-CP103-CP107</f>
        <v>0</v>
      </c>
      <c r="CQ112" s="52">
        <f aca="true" t="shared" si="266" ref="CQ112:CQ131">CP112-CO112</f>
        <v>0</v>
      </c>
      <c r="CR112" s="52" t="s">
        <v>250</v>
      </c>
      <c r="CS112" s="52">
        <f>CS100-CS103-CS107</f>
        <v>0</v>
      </c>
      <c r="CT112" s="52">
        <f>CT100-CT103-CT107</f>
        <v>0</v>
      </c>
      <c r="CU112" s="52"/>
      <c r="CV112" s="52"/>
      <c r="CW112" s="52">
        <f>CW100-CW103-CW107</f>
        <v>0</v>
      </c>
      <c r="CX112" s="52">
        <f>CX100-CX103-CX107</f>
        <v>0</v>
      </c>
      <c r="CY112" s="52">
        <f aca="true" t="shared" si="267" ref="CY112:CY131">CX112-CW112</f>
        <v>0</v>
      </c>
      <c r="CZ112" s="52" t="s">
        <v>250</v>
      </c>
      <c r="DA112" s="52" t="e">
        <f>DA100-DA103-DA107</f>
        <v>#REF!</v>
      </c>
      <c r="DB112" s="84">
        <f>DB100-DB103-DB107</f>
        <v>0</v>
      </c>
      <c r="DC112" s="52" t="e">
        <f>DC100-DC103-DC107</f>
        <v>#REF!</v>
      </c>
      <c r="DD112" s="52" t="e">
        <f aca="true" t="shared" si="268" ref="DD112:DD131">DC112-DB112</f>
        <v>#REF!</v>
      </c>
      <c r="DE112" s="83" t="s">
        <v>250</v>
      </c>
    </row>
    <row r="113" spans="1:109" ht="15.75" hidden="1">
      <c r="A113" s="98" t="s">
        <v>147</v>
      </c>
      <c r="B113" s="220"/>
      <c r="C113" s="10" t="s">
        <v>1</v>
      </c>
      <c r="D113" s="51">
        <f>IF(D100=0,0,D112/D100)</f>
        <v>0</v>
      </c>
      <c r="E113" s="51">
        <f>IF(E100=0,0,E112/E100)</f>
        <v>0</v>
      </c>
      <c r="F113" s="51"/>
      <c r="G113" s="51"/>
      <c r="H113" s="51"/>
      <c r="I113" s="51">
        <f>IF(I100=0,0,I112/I100)</f>
        <v>0</v>
      </c>
      <c r="J113" s="51">
        <f>IF(J100=0,0,J112/J100)</f>
        <v>0</v>
      </c>
      <c r="K113" s="51">
        <f t="shared" si="221"/>
        <v>0</v>
      </c>
      <c r="L113" s="51" t="s">
        <v>250</v>
      </c>
      <c r="M113" s="17">
        <f>IF(M100=0,0,M112/M100)</f>
        <v>0</v>
      </c>
      <c r="N113" s="51">
        <f>IF(N100=0,0,N112/N100)</f>
        <v>0</v>
      </c>
      <c r="O113" s="51"/>
      <c r="P113" s="51"/>
      <c r="Q113" s="51"/>
      <c r="R113" s="51">
        <f>IF(R100=0,0,R112/R100)</f>
        <v>0</v>
      </c>
      <c r="S113" s="51">
        <f>IF(S100=0,0,S112/S100)</f>
        <v>0</v>
      </c>
      <c r="T113" s="51">
        <f t="shared" si="257"/>
        <v>0</v>
      </c>
      <c r="U113" s="51" t="s">
        <v>250</v>
      </c>
      <c r="V113" s="51">
        <f>IF(V100=0,0,V112/V100)</f>
        <v>0</v>
      </c>
      <c r="W113" s="51">
        <f>IF(W100=0,0,W112/W100)</f>
        <v>0</v>
      </c>
      <c r="X113" s="51"/>
      <c r="Y113" s="51"/>
      <c r="Z113" s="51"/>
      <c r="AA113" s="51">
        <f>IF(AA100=0,0,AA112/AA100)</f>
        <v>0</v>
      </c>
      <c r="AB113" s="51">
        <f>IF(AB100=0,0,AB112/AB100)</f>
        <v>0</v>
      </c>
      <c r="AC113" s="51">
        <f t="shared" si="258"/>
        <v>0</v>
      </c>
      <c r="AD113" s="51" t="s">
        <v>250</v>
      </c>
      <c r="AE113" s="51">
        <f>IF(AE100=0,0,AE112/AE100)</f>
        <v>0</v>
      </c>
      <c r="AF113" s="51">
        <f>IF(AF100=0,0,AF112/AF100)</f>
        <v>0</v>
      </c>
      <c r="AG113" s="51"/>
      <c r="AH113" s="51"/>
      <c r="AI113" s="51"/>
      <c r="AJ113" s="51">
        <f>IF(AJ100=0,0,AJ112/AJ100)</f>
        <v>0</v>
      </c>
      <c r="AK113" s="51">
        <f>IF(AK100=0,0,AK112/AK100)</f>
        <v>0</v>
      </c>
      <c r="AL113" s="51">
        <f t="shared" si="259"/>
        <v>0</v>
      </c>
      <c r="AM113" s="51" t="s">
        <v>250</v>
      </c>
      <c r="AN113" s="51">
        <f>IF(AN100=0,0,AN112/AN100)</f>
        <v>0</v>
      </c>
      <c r="AO113" s="51">
        <f>IF(AO100=0,0,AO112/AO100)</f>
        <v>0</v>
      </c>
      <c r="AP113" s="51"/>
      <c r="AQ113" s="51"/>
      <c r="AR113" s="51"/>
      <c r="AS113" s="51">
        <f>IF(AS100=0,0,AS112/AS100)</f>
        <v>0</v>
      </c>
      <c r="AT113" s="51">
        <f>IF(AT100=0,0,AT112/AT100)</f>
        <v>0</v>
      </c>
      <c r="AU113" s="51">
        <f t="shared" si="260"/>
        <v>0</v>
      </c>
      <c r="AV113" s="51" t="s">
        <v>250</v>
      </c>
      <c r="AW113" s="51">
        <f>IF(AW100=0,0,AW112/AW100)</f>
        <v>0</v>
      </c>
      <c r="AX113" s="51">
        <f>IF(AX100=0,0,AX112/AX100)</f>
        <v>0</v>
      </c>
      <c r="AY113" s="51"/>
      <c r="AZ113" s="51"/>
      <c r="BA113" s="51">
        <f>IF(BA100=0,0,BA112/BA100)</f>
        <v>0</v>
      </c>
      <c r="BB113" s="51">
        <f>IF(BB100=0,0,BB112/BB100)</f>
        <v>0</v>
      </c>
      <c r="BC113" s="51">
        <f t="shared" si="261"/>
        <v>0</v>
      </c>
      <c r="BD113" s="51" t="s">
        <v>250</v>
      </c>
      <c r="BE113" s="51">
        <f>IF(BE100=0,0,BE112/BE100)</f>
        <v>0</v>
      </c>
      <c r="BF113" s="51"/>
      <c r="BG113" s="51">
        <f>IF(BG100=0,0,BG112/BG100)</f>
        <v>0</v>
      </c>
      <c r="BH113" s="51"/>
      <c r="BI113" s="51">
        <f>IF(BI100=0,0,BI112/BI100)</f>
        <v>0</v>
      </c>
      <c r="BJ113" s="51">
        <f>IF(BJ100=0,0,BJ112/BJ100)</f>
        <v>0</v>
      </c>
      <c r="BK113" s="51">
        <f t="shared" si="262"/>
        <v>0</v>
      </c>
      <c r="BL113" s="51" t="s">
        <v>250</v>
      </c>
      <c r="BM113" s="51">
        <f>IF(BM100=0,0,BM112/BM100)</f>
        <v>0</v>
      </c>
      <c r="BN113" s="51">
        <f>IF(BN100=0,0,BN112/BN100)</f>
        <v>0</v>
      </c>
      <c r="BO113" s="51"/>
      <c r="BP113" s="51"/>
      <c r="BQ113" s="51">
        <f>IF(BQ100=0,0,BQ112/BQ100)</f>
        <v>0</v>
      </c>
      <c r="BR113" s="51">
        <f>IF(BR100=0,0,BR112/BR100)</f>
        <v>0</v>
      </c>
      <c r="BS113" s="51">
        <f t="shared" si="263"/>
        <v>0</v>
      </c>
      <c r="BT113" s="51" t="s">
        <v>250</v>
      </c>
      <c r="BU113" s="51">
        <f>IF(BU100=0,0,BU112/BU100)</f>
        <v>0</v>
      </c>
      <c r="BV113" s="51">
        <f>IF(BV100=0,0,BV112/BV100)</f>
        <v>0</v>
      </c>
      <c r="BW113" s="51"/>
      <c r="BX113" s="51"/>
      <c r="BY113" s="51">
        <f>IF(BY100=0,0,BY112/BY100)</f>
        <v>0</v>
      </c>
      <c r="BZ113" s="51">
        <f>IF(BZ100=0,0,BZ112/BZ100)</f>
        <v>0</v>
      </c>
      <c r="CA113" s="51">
        <f t="shared" si="264"/>
        <v>0</v>
      </c>
      <c r="CB113" s="51" t="s">
        <v>250</v>
      </c>
      <c r="CC113" s="51">
        <f>IF(CC100=0,0,CC112/CC100)</f>
        <v>0</v>
      </c>
      <c r="CD113" s="51">
        <f>IF(CD100=0,0,CD112/CD100)</f>
        <v>0</v>
      </c>
      <c r="CE113" s="51"/>
      <c r="CF113" s="51"/>
      <c r="CG113" s="51">
        <f>IF(CG100=0,0,CG112/CG100)</f>
        <v>0</v>
      </c>
      <c r="CH113" s="152">
        <f>IF(CH100=0,0,CH112/CH100)</f>
        <v>0</v>
      </c>
      <c r="CI113" s="51">
        <f t="shared" si="265"/>
        <v>0</v>
      </c>
      <c r="CJ113" s="51" t="s">
        <v>250</v>
      </c>
      <c r="CK113" s="51">
        <f>IF(CK100=0,0,CK112/CK100)</f>
        <v>0</v>
      </c>
      <c r="CL113" s="51">
        <f>IF(CL100=0,0,CL112/CL100)</f>
        <v>0</v>
      </c>
      <c r="CM113" s="51"/>
      <c r="CN113" s="51"/>
      <c r="CO113" s="51">
        <f>IF(CO100=0,0,CO112/CO100)</f>
        <v>0</v>
      </c>
      <c r="CP113" s="51">
        <f>IF(CP100=0,0,CP112/CP100)</f>
        <v>0</v>
      </c>
      <c r="CQ113" s="51">
        <f t="shared" si="266"/>
        <v>0</v>
      </c>
      <c r="CR113" s="51" t="s">
        <v>250</v>
      </c>
      <c r="CS113" s="51">
        <f>IF(CS100=0,0,CS112/CS100)</f>
        <v>0</v>
      </c>
      <c r="CT113" s="51">
        <f>IF(CT100=0,0,CT112/CT100)</f>
        <v>0</v>
      </c>
      <c r="CU113" s="51"/>
      <c r="CV113" s="51"/>
      <c r="CW113" s="51">
        <f>IF(CW100=0,0,CW112/CW100)</f>
        <v>0</v>
      </c>
      <c r="CX113" s="51">
        <f>IF(CX100=0,0,CX112/CX100)</f>
        <v>0</v>
      </c>
      <c r="CY113" s="51">
        <f t="shared" si="267"/>
        <v>0</v>
      </c>
      <c r="CZ113" s="51" t="s">
        <v>250</v>
      </c>
      <c r="DA113" s="51" t="e">
        <f>IF(DA100=0,0,DA112/DA100)</f>
        <v>#REF!</v>
      </c>
      <c r="DB113" s="85">
        <f>IF(DB100=0,0,DB112/DB100)</f>
        <v>0</v>
      </c>
      <c r="DC113" s="51" t="e">
        <f>IF(DC100=0,0,DC112/DC100)</f>
        <v>#REF!</v>
      </c>
      <c r="DD113" s="51" t="e">
        <f t="shared" si="268"/>
        <v>#REF!</v>
      </c>
      <c r="DE113" s="86" t="s">
        <v>250</v>
      </c>
    </row>
    <row r="114" spans="1:109" ht="15.75" hidden="1">
      <c r="A114" s="98" t="s">
        <v>148</v>
      </c>
      <c r="B114" s="222" t="s">
        <v>108</v>
      </c>
      <c r="C114" s="10" t="s">
        <v>4</v>
      </c>
      <c r="D114" s="21"/>
      <c r="E114" s="21"/>
      <c r="F114" s="21"/>
      <c r="G114" s="21"/>
      <c r="H114" s="21"/>
      <c r="I114" s="21"/>
      <c r="J114" s="21"/>
      <c r="K114" s="52">
        <f t="shared" si="221"/>
        <v>0</v>
      </c>
      <c r="L114" s="52" t="s">
        <v>250</v>
      </c>
      <c r="M114" s="52"/>
      <c r="N114" s="21"/>
      <c r="O114" s="21"/>
      <c r="P114" s="21"/>
      <c r="Q114" s="21"/>
      <c r="R114" s="21"/>
      <c r="S114" s="21"/>
      <c r="T114" s="52">
        <f t="shared" si="257"/>
        <v>0</v>
      </c>
      <c r="U114" s="52" t="s">
        <v>250</v>
      </c>
      <c r="V114" s="21"/>
      <c r="W114" s="21"/>
      <c r="X114" s="21"/>
      <c r="Y114" s="21"/>
      <c r="Z114" s="21"/>
      <c r="AA114" s="21"/>
      <c r="AB114" s="21"/>
      <c r="AC114" s="52">
        <f t="shared" si="258"/>
        <v>0</v>
      </c>
      <c r="AD114" s="52" t="s">
        <v>250</v>
      </c>
      <c r="AE114" s="21"/>
      <c r="AF114" s="21"/>
      <c r="AG114" s="21"/>
      <c r="AH114" s="21"/>
      <c r="AI114" s="21"/>
      <c r="AJ114" s="21"/>
      <c r="AK114" s="21"/>
      <c r="AL114" s="52">
        <f t="shared" si="259"/>
        <v>0</v>
      </c>
      <c r="AM114" s="52" t="s">
        <v>250</v>
      </c>
      <c r="AN114" s="21"/>
      <c r="AO114" s="21"/>
      <c r="AP114" s="21"/>
      <c r="AQ114" s="21"/>
      <c r="AR114" s="21"/>
      <c r="AS114" s="21"/>
      <c r="AT114" s="21"/>
      <c r="AU114" s="52">
        <f t="shared" si="260"/>
        <v>0</v>
      </c>
      <c r="AV114" s="52" t="s">
        <v>250</v>
      </c>
      <c r="AW114" s="21"/>
      <c r="AX114" s="21"/>
      <c r="AY114" s="21"/>
      <c r="AZ114" s="21"/>
      <c r="BA114" s="21"/>
      <c r="BB114" s="21"/>
      <c r="BC114" s="52">
        <f t="shared" si="261"/>
        <v>0</v>
      </c>
      <c r="BD114" s="52" t="s">
        <v>250</v>
      </c>
      <c r="BE114" s="21"/>
      <c r="BF114" s="21"/>
      <c r="BG114" s="21"/>
      <c r="BH114" s="21"/>
      <c r="BI114" s="21"/>
      <c r="BJ114" s="21"/>
      <c r="BK114" s="52">
        <f t="shared" si="262"/>
        <v>0</v>
      </c>
      <c r="BL114" s="52" t="s">
        <v>250</v>
      </c>
      <c r="BM114" s="21"/>
      <c r="BN114" s="21"/>
      <c r="BO114" s="21"/>
      <c r="BP114" s="21"/>
      <c r="BQ114" s="21"/>
      <c r="BR114" s="21"/>
      <c r="BS114" s="52">
        <f t="shared" si="263"/>
        <v>0</v>
      </c>
      <c r="BT114" s="52" t="s">
        <v>250</v>
      </c>
      <c r="BU114" s="21"/>
      <c r="BV114" s="21"/>
      <c r="BW114" s="21"/>
      <c r="BX114" s="21"/>
      <c r="BY114" s="21"/>
      <c r="BZ114" s="21"/>
      <c r="CA114" s="52">
        <f t="shared" si="264"/>
        <v>0</v>
      </c>
      <c r="CB114" s="52" t="s">
        <v>250</v>
      </c>
      <c r="CC114" s="21"/>
      <c r="CD114" s="21"/>
      <c r="CE114" s="21"/>
      <c r="CF114" s="21"/>
      <c r="CG114" s="21"/>
      <c r="CH114" s="141"/>
      <c r="CI114" s="52">
        <f t="shared" si="265"/>
        <v>0</v>
      </c>
      <c r="CJ114" s="52" t="s">
        <v>250</v>
      </c>
      <c r="CK114" s="21"/>
      <c r="CL114" s="21"/>
      <c r="CM114" s="21"/>
      <c r="CN114" s="21"/>
      <c r="CO114" s="21"/>
      <c r="CP114" s="21"/>
      <c r="CQ114" s="52">
        <f t="shared" si="266"/>
        <v>0</v>
      </c>
      <c r="CR114" s="52" t="s">
        <v>250</v>
      </c>
      <c r="CS114" s="21"/>
      <c r="CT114" s="21"/>
      <c r="CU114" s="21"/>
      <c r="CV114" s="21"/>
      <c r="CW114" s="21"/>
      <c r="CX114" s="21"/>
      <c r="CY114" s="52">
        <f t="shared" si="267"/>
        <v>0</v>
      </c>
      <c r="CZ114" s="52" t="s">
        <v>250</v>
      </c>
      <c r="DA114" s="50" t="e">
        <f>J114+IF(#REF!&gt;=2,S114,0)+IF(#REF!&gt;=3,AB114,0)+IF(#REF!&gt;=4,AK114,0)+IF(#REF!&gt;=5,AT114,0)+IF(#REF!&gt;=6,BB114,0)+IF(#REF!&gt;=7,BJ114,0)+IF(#REF!&gt;=8,BR114,0)+IF(#REF!&gt;=9,BZ114,0)+IF(#REF!&gt;=10,CH114,0)+IF(#REF!&gt;=11,CP114,0)+IF(#REF!&gt;=12,CX114,0)</f>
        <v>#REF!</v>
      </c>
      <c r="DB114" s="84">
        <f>I114+R114+AA114+AJ114+AS114+BA114+BI114+BQ114+BY114+CG114+CO114+CW114</f>
        <v>0</v>
      </c>
      <c r="DC114" s="106" t="e">
        <f>IF(#REF!&gt;=1,J114,I114)+IF(#REF!&gt;=2,S114,R114)+IF(#REF!&gt;=3,AB114,AA114)+IF(#REF!&gt;=4,AK114,AJ114)+IF(#REF!&gt;=5,AT114,AS114)+IF(#REF!&gt;=6,BB114,BA114)+IF(#REF!&gt;=7,BJ114,BI114)+IF(#REF!&gt;=8,BR114,BQ114)+IF(#REF!&gt;=9,BZ114,BY114)+IF(#REF!&gt;=10,CH114,CG114)+IF(#REF!&gt;=11,CP114,CO114)+IF(#REF!&gt;=12,CX114,CW114)</f>
        <v>#REF!</v>
      </c>
      <c r="DD114" s="52" t="e">
        <f t="shared" si="268"/>
        <v>#REF!</v>
      </c>
      <c r="DE114" s="83" t="s">
        <v>250</v>
      </c>
    </row>
    <row r="115" spans="1:109" ht="15.75" hidden="1">
      <c r="A115" s="98" t="s">
        <v>149</v>
      </c>
      <c r="B115" s="222"/>
      <c r="C115" s="10" t="s">
        <v>1</v>
      </c>
      <c r="D115" s="54">
        <f>IF(D100=0,0,D114/D100)</f>
        <v>0</v>
      </c>
      <c r="E115" s="54">
        <f>IF(E100=0,0,E114/E100)</f>
        <v>0</v>
      </c>
      <c r="F115" s="54"/>
      <c r="G115" s="54"/>
      <c r="H115" s="54"/>
      <c r="I115" s="54">
        <f>IF(I100=0,0,I114/I100)</f>
        <v>0</v>
      </c>
      <c r="J115" s="54">
        <f>IF(J100=0,0,J114/J100)</f>
        <v>0</v>
      </c>
      <c r="K115" s="51">
        <f t="shared" si="221"/>
        <v>0</v>
      </c>
      <c r="L115" s="51" t="s">
        <v>250</v>
      </c>
      <c r="M115" s="32">
        <f>IF(M100=0,0,M114/M100)</f>
        <v>0</v>
      </c>
      <c r="N115" s="54">
        <f>IF(N100=0,0,N114/N100)</f>
        <v>0</v>
      </c>
      <c r="O115" s="54"/>
      <c r="P115" s="54"/>
      <c r="Q115" s="54"/>
      <c r="R115" s="54">
        <f>IF(R100=0,0,R114/R100)</f>
        <v>0</v>
      </c>
      <c r="S115" s="54">
        <f>IF(S100=0,0,S114/S100)</f>
        <v>0</v>
      </c>
      <c r="T115" s="51">
        <f t="shared" si="257"/>
        <v>0</v>
      </c>
      <c r="U115" s="51" t="s">
        <v>250</v>
      </c>
      <c r="V115" s="54">
        <f>IF(V100=0,0,V114/V100)</f>
        <v>0</v>
      </c>
      <c r="W115" s="54">
        <f>IF(W100=0,0,W114/W100)</f>
        <v>0</v>
      </c>
      <c r="X115" s="54"/>
      <c r="Y115" s="54"/>
      <c r="Z115" s="54"/>
      <c r="AA115" s="54">
        <f>IF(AA100=0,0,AA114/AA100)</f>
        <v>0</v>
      </c>
      <c r="AB115" s="54">
        <f>IF(AB100=0,0,AB114/AB100)</f>
        <v>0</v>
      </c>
      <c r="AC115" s="51">
        <f t="shared" si="258"/>
        <v>0</v>
      </c>
      <c r="AD115" s="51" t="s">
        <v>250</v>
      </c>
      <c r="AE115" s="54">
        <f>IF(AE100=0,0,AE114/AE100)</f>
        <v>0</v>
      </c>
      <c r="AF115" s="54">
        <f>IF(AF100=0,0,AF114/AF100)</f>
        <v>0</v>
      </c>
      <c r="AG115" s="54"/>
      <c r="AH115" s="54"/>
      <c r="AI115" s="54"/>
      <c r="AJ115" s="54">
        <f>IF(AJ100=0,0,AJ114/AJ100)</f>
        <v>0</v>
      </c>
      <c r="AK115" s="54">
        <f>IF(AK100=0,0,AK114/AK100)</f>
        <v>0</v>
      </c>
      <c r="AL115" s="51">
        <f t="shared" si="259"/>
        <v>0</v>
      </c>
      <c r="AM115" s="51" t="s">
        <v>250</v>
      </c>
      <c r="AN115" s="54">
        <f>IF(AN100=0,0,AN114/AN100)</f>
        <v>0</v>
      </c>
      <c r="AO115" s="54">
        <f>IF(AO100=0,0,AO114/AO100)</f>
        <v>0</v>
      </c>
      <c r="AP115" s="54"/>
      <c r="AQ115" s="54"/>
      <c r="AR115" s="54"/>
      <c r="AS115" s="54">
        <f>IF(AS100=0,0,AS114/AS100)</f>
        <v>0</v>
      </c>
      <c r="AT115" s="54">
        <f>IF(AT100=0,0,AT114/AT100)</f>
        <v>0</v>
      </c>
      <c r="AU115" s="51">
        <f t="shared" si="260"/>
        <v>0</v>
      </c>
      <c r="AV115" s="51" t="s">
        <v>250</v>
      </c>
      <c r="AW115" s="54">
        <f>IF(AW100=0,0,AW114/AW100)</f>
        <v>0</v>
      </c>
      <c r="AX115" s="54">
        <f>IF(AX100=0,0,AX114/AX100)</f>
        <v>0</v>
      </c>
      <c r="AY115" s="54"/>
      <c r="AZ115" s="54"/>
      <c r="BA115" s="54">
        <f>IF(BA100=0,0,BA114/BA100)</f>
        <v>0</v>
      </c>
      <c r="BB115" s="54">
        <f>IF(BB100=0,0,BB114/BB100)</f>
        <v>0</v>
      </c>
      <c r="BC115" s="51">
        <f t="shared" si="261"/>
        <v>0</v>
      </c>
      <c r="BD115" s="51" t="s">
        <v>250</v>
      </c>
      <c r="BE115" s="54">
        <f>IF(BE100=0,0,BE114/BE100)</f>
        <v>0</v>
      </c>
      <c r="BF115" s="54"/>
      <c r="BG115" s="54">
        <f>IF(BG100=0,0,BG114/BG100)</f>
        <v>0</v>
      </c>
      <c r="BH115" s="54"/>
      <c r="BI115" s="54">
        <f>IF(BI100=0,0,BI114/BI100)</f>
        <v>0</v>
      </c>
      <c r="BJ115" s="54">
        <f>IF(BJ100=0,0,BJ114/BJ100)</f>
        <v>0</v>
      </c>
      <c r="BK115" s="51">
        <f t="shared" si="262"/>
        <v>0</v>
      </c>
      <c r="BL115" s="51" t="s">
        <v>250</v>
      </c>
      <c r="BM115" s="54">
        <f>IF(BM100=0,0,BM114/BM100)</f>
        <v>0</v>
      </c>
      <c r="BN115" s="54">
        <f>IF(BN100=0,0,BN114/BN100)</f>
        <v>0</v>
      </c>
      <c r="BO115" s="54"/>
      <c r="BP115" s="54"/>
      <c r="BQ115" s="54">
        <f>IF(BQ100=0,0,BQ114/BQ100)</f>
        <v>0</v>
      </c>
      <c r="BR115" s="54">
        <f>IF(BR100=0,0,BR114/BR100)</f>
        <v>0</v>
      </c>
      <c r="BS115" s="51">
        <f t="shared" si="263"/>
        <v>0</v>
      </c>
      <c r="BT115" s="51" t="s">
        <v>250</v>
      </c>
      <c r="BU115" s="54">
        <f>IF(BU100=0,0,BU114/BU100)</f>
        <v>0</v>
      </c>
      <c r="BV115" s="54">
        <f>IF(BV100=0,0,BV114/BV100)</f>
        <v>0</v>
      </c>
      <c r="BW115" s="54"/>
      <c r="BX115" s="54"/>
      <c r="BY115" s="54">
        <f>IF(BY100=0,0,BY114/BY100)</f>
        <v>0</v>
      </c>
      <c r="BZ115" s="54">
        <f>IF(BZ100=0,0,BZ114/BZ100)</f>
        <v>0</v>
      </c>
      <c r="CA115" s="51">
        <f t="shared" si="264"/>
        <v>0</v>
      </c>
      <c r="CB115" s="51" t="s">
        <v>250</v>
      </c>
      <c r="CC115" s="54">
        <f>IF(CC100=0,0,CC114/CC100)</f>
        <v>0</v>
      </c>
      <c r="CD115" s="54">
        <f>IF(CD100=0,0,CD114/CD100)</f>
        <v>0</v>
      </c>
      <c r="CE115" s="54"/>
      <c r="CF115" s="54"/>
      <c r="CG115" s="54">
        <f>IF(CG100=0,0,CG114/CG100)</f>
        <v>0</v>
      </c>
      <c r="CH115" s="180">
        <f>IF(CH100=0,0,CH114/CH100)</f>
        <v>0</v>
      </c>
      <c r="CI115" s="51">
        <f t="shared" si="265"/>
        <v>0</v>
      </c>
      <c r="CJ115" s="51" t="s">
        <v>250</v>
      </c>
      <c r="CK115" s="54">
        <f>IF(CK100=0,0,CK114/CK100)</f>
        <v>0</v>
      </c>
      <c r="CL115" s="54">
        <f>IF(CL100=0,0,CL114/CL100)</f>
        <v>0</v>
      </c>
      <c r="CM115" s="54"/>
      <c r="CN115" s="54"/>
      <c r="CO115" s="54">
        <f>IF(CO100=0,0,CO114/CO100)</f>
        <v>0</v>
      </c>
      <c r="CP115" s="54">
        <f>IF(CP100=0,0,CP114/CP100)</f>
        <v>0</v>
      </c>
      <c r="CQ115" s="51">
        <f t="shared" si="266"/>
        <v>0</v>
      </c>
      <c r="CR115" s="51" t="s">
        <v>250</v>
      </c>
      <c r="CS115" s="54">
        <f>IF(CS100=0,0,CS114/CS100)</f>
        <v>0</v>
      </c>
      <c r="CT115" s="54">
        <f>IF(CT100=0,0,CT114/CT100)</f>
        <v>0</v>
      </c>
      <c r="CU115" s="54"/>
      <c r="CV115" s="54"/>
      <c r="CW115" s="54">
        <f>IF(CW100=0,0,CW114/CW100)</f>
        <v>0</v>
      </c>
      <c r="CX115" s="54">
        <f>IF(CX100=0,0,CX114/CX100)</f>
        <v>0</v>
      </c>
      <c r="CY115" s="51">
        <f t="shared" si="267"/>
        <v>0</v>
      </c>
      <c r="CZ115" s="51" t="s">
        <v>250</v>
      </c>
      <c r="DA115" s="51" t="e">
        <f>IF(DA100=0,0,DA114/DA100)</f>
        <v>#REF!</v>
      </c>
      <c r="DB115" s="87">
        <f>IF(DB100=0,0,DB114/DB100)</f>
        <v>0</v>
      </c>
      <c r="DC115" s="54" t="e">
        <f>IF(DC100=0,0,DC114/DC100)</f>
        <v>#REF!</v>
      </c>
      <c r="DD115" s="51" t="e">
        <f t="shared" si="268"/>
        <v>#REF!</v>
      </c>
      <c r="DE115" s="86" t="s">
        <v>250</v>
      </c>
    </row>
    <row r="116" spans="1:109" ht="15.75" hidden="1">
      <c r="A116" s="98" t="s">
        <v>150</v>
      </c>
      <c r="B116" s="34" t="s">
        <v>151</v>
      </c>
      <c r="C116" s="10" t="s">
        <v>4</v>
      </c>
      <c r="D116" s="52">
        <f>D84+D100</f>
        <v>0</v>
      </c>
      <c r="E116" s="52">
        <f>E84+E100</f>
        <v>0</v>
      </c>
      <c r="F116" s="52"/>
      <c r="G116" s="52"/>
      <c r="H116" s="52"/>
      <c r="I116" s="52">
        <f>I84+I100</f>
        <v>0</v>
      </c>
      <c r="J116" s="52">
        <f>J84+J100</f>
        <v>0</v>
      </c>
      <c r="K116" s="52">
        <f t="shared" si="221"/>
        <v>0</v>
      </c>
      <c r="L116" s="52">
        <f t="shared" si="256"/>
        <v>0</v>
      </c>
      <c r="M116" s="33">
        <f aca="true" t="shared" si="269" ref="M116:S117">M84+M100</f>
        <v>0</v>
      </c>
      <c r="N116" s="52">
        <f t="shared" si="269"/>
        <v>0</v>
      </c>
      <c r="O116" s="52"/>
      <c r="P116" s="52"/>
      <c r="Q116" s="52"/>
      <c r="R116" s="52">
        <f t="shared" si="269"/>
        <v>0</v>
      </c>
      <c r="S116" s="52">
        <f t="shared" si="269"/>
        <v>0</v>
      </c>
      <c r="T116" s="52">
        <f t="shared" si="257"/>
        <v>0</v>
      </c>
      <c r="U116" s="52">
        <f>IF(R116=0,0,T116/R116)</f>
        <v>0</v>
      </c>
      <c r="V116" s="52">
        <f aca="true" t="shared" si="270" ref="V116:AB117">V84+V100</f>
        <v>0</v>
      </c>
      <c r="W116" s="52">
        <f t="shared" si="270"/>
        <v>0</v>
      </c>
      <c r="X116" s="52"/>
      <c r="Y116" s="52"/>
      <c r="Z116" s="52"/>
      <c r="AA116" s="52">
        <f t="shared" si="270"/>
        <v>0</v>
      </c>
      <c r="AB116" s="52">
        <f t="shared" si="270"/>
        <v>0</v>
      </c>
      <c r="AC116" s="52">
        <f t="shared" si="258"/>
        <v>0</v>
      </c>
      <c r="AD116" s="52">
        <f>IF(AA116=0,0,AC116/AA116)</f>
        <v>0</v>
      </c>
      <c r="AE116" s="52">
        <f aca="true" t="shared" si="271" ref="AE116:AK117">AE84+AE100</f>
        <v>0</v>
      </c>
      <c r="AF116" s="52">
        <f t="shared" si="271"/>
        <v>0</v>
      </c>
      <c r="AG116" s="52"/>
      <c r="AH116" s="52"/>
      <c r="AI116" s="52"/>
      <c r="AJ116" s="52">
        <f t="shared" si="271"/>
        <v>0</v>
      </c>
      <c r="AK116" s="52">
        <f t="shared" si="271"/>
        <v>0</v>
      </c>
      <c r="AL116" s="52">
        <f t="shared" si="259"/>
        <v>0</v>
      </c>
      <c r="AM116" s="52">
        <f>IF(AJ116=0,0,AL116/AJ116)</f>
        <v>0</v>
      </c>
      <c r="AN116" s="52">
        <f aca="true" t="shared" si="272" ref="AN116:AT117">AN84+AN100</f>
        <v>0</v>
      </c>
      <c r="AO116" s="52">
        <f t="shared" si="272"/>
        <v>0</v>
      </c>
      <c r="AP116" s="52"/>
      <c r="AQ116" s="52"/>
      <c r="AR116" s="52"/>
      <c r="AS116" s="52">
        <f t="shared" si="272"/>
        <v>0</v>
      </c>
      <c r="AT116" s="52">
        <f t="shared" si="272"/>
        <v>0</v>
      </c>
      <c r="AU116" s="52">
        <f t="shared" si="260"/>
        <v>0</v>
      </c>
      <c r="AV116" s="52">
        <f>IF(AS116=0,0,AU116/AS116)</f>
        <v>0</v>
      </c>
      <c r="AW116" s="52">
        <f aca="true" t="shared" si="273" ref="AW116:BB117">AW84+AW100</f>
        <v>0</v>
      </c>
      <c r="AX116" s="52">
        <f t="shared" si="273"/>
        <v>0</v>
      </c>
      <c r="AY116" s="52"/>
      <c r="AZ116" s="52"/>
      <c r="BA116" s="52">
        <f t="shared" si="273"/>
        <v>0</v>
      </c>
      <c r="BB116" s="52">
        <f t="shared" si="273"/>
        <v>0</v>
      </c>
      <c r="BC116" s="52">
        <f t="shared" si="261"/>
        <v>0</v>
      </c>
      <c r="BD116" s="52">
        <f>IF(BA116=0,0,BC116/BA116)</f>
        <v>0</v>
      </c>
      <c r="BE116" s="52">
        <f aca="true" t="shared" si="274" ref="BE116:BJ117">BE84+BE100</f>
        <v>0</v>
      </c>
      <c r="BF116" s="52"/>
      <c r="BG116" s="52">
        <f>BG84+BG100</f>
        <v>0</v>
      </c>
      <c r="BH116" s="52"/>
      <c r="BI116" s="52">
        <f t="shared" si="274"/>
        <v>0</v>
      </c>
      <c r="BJ116" s="52">
        <f t="shared" si="274"/>
        <v>0</v>
      </c>
      <c r="BK116" s="52">
        <f t="shared" si="262"/>
        <v>0</v>
      </c>
      <c r="BL116" s="52">
        <f>IF(BI116=0,0,BK116/BI116)</f>
        <v>0</v>
      </c>
      <c r="BM116" s="52">
        <f aca="true" t="shared" si="275" ref="BM116:BR117">BM84+BM100</f>
        <v>0</v>
      </c>
      <c r="BN116" s="52">
        <f t="shared" si="275"/>
        <v>0</v>
      </c>
      <c r="BO116" s="52"/>
      <c r="BP116" s="52"/>
      <c r="BQ116" s="52">
        <f t="shared" si="275"/>
        <v>0</v>
      </c>
      <c r="BR116" s="52">
        <f t="shared" si="275"/>
        <v>0</v>
      </c>
      <c r="BS116" s="52">
        <f t="shared" si="263"/>
        <v>0</v>
      </c>
      <c r="BT116" s="52">
        <f>IF(BQ116=0,0,BS116/BQ116)</f>
        <v>0</v>
      </c>
      <c r="BU116" s="52">
        <f aca="true" t="shared" si="276" ref="BU116:BZ117">BU84+BU100</f>
        <v>0</v>
      </c>
      <c r="BV116" s="52">
        <f t="shared" si="276"/>
        <v>0</v>
      </c>
      <c r="BW116" s="52"/>
      <c r="BX116" s="52"/>
      <c r="BY116" s="52">
        <f t="shared" si="276"/>
        <v>0</v>
      </c>
      <c r="BZ116" s="52">
        <f t="shared" si="276"/>
        <v>0</v>
      </c>
      <c r="CA116" s="52">
        <f t="shared" si="264"/>
        <v>0</v>
      </c>
      <c r="CB116" s="52">
        <f>IF(BY116=0,0,CA116/BY116)</f>
        <v>0</v>
      </c>
      <c r="CC116" s="52">
        <f aca="true" t="shared" si="277" ref="CC116:CH117">CC84+CC100</f>
        <v>0</v>
      </c>
      <c r="CD116" s="52">
        <f t="shared" si="277"/>
        <v>0</v>
      </c>
      <c r="CE116" s="52"/>
      <c r="CF116" s="52"/>
      <c r="CG116" s="52">
        <f t="shared" si="277"/>
        <v>0</v>
      </c>
      <c r="CH116" s="152">
        <f t="shared" si="277"/>
        <v>0</v>
      </c>
      <c r="CI116" s="52">
        <f t="shared" si="265"/>
        <v>0</v>
      </c>
      <c r="CJ116" s="52">
        <f>IF(CG116=0,0,CI116/CG116)</f>
        <v>0</v>
      </c>
      <c r="CK116" s="52">
        <f aca="true" t="shared" si="278" ref="CK116:CP117">CK84+CK100</f>
        <v>0</v>
      </c>
      <c r="CL116" s="52">
        <f t="shared" si="278"/>
        <v>0</v>
      </c>
      <c r="CM116" s="52"/>
      <c r="CN116" s="52"/>
      <c r="CO116" s="52">
        <f t="shared" si="278"/>
        <v>0</v>
      </c>
      <c r="CP116" s="52">
        <f t="shared" si="278"/>
        <v>0</v>
      </c>
      <c r="CQ116" s="52">
        <f t="shared" si="266"/>
        <v>0</v>
      </c>
      <c r="CR116" s="52">
        <f>IF(CO116=0,0,CQ116/CO116)</f>
        <v>0</v>
      </c>
      <c r="CS116" s="52">
        <f aca="true" t="shared" si="279" ref="CS116:CX117">CS84+CS100</f>
        <v>0</v>
      </c>
      <c r="CT116" s="52">
        <f t="shared" si="279"/>
        <v>0</v>
      </c>
      <c r="CU116" s="52"/>
      <c r="CV116" s="52"/>
      <c r="CW116" s="52">
        <f t="shared" si="279"/>
        <v>0</v>
      </c>
      <c r="CX116" s="52">
        <f t="shared" si="279"/>
        <v>0</v>
      </c>
      <c r="CY116" s="52">
        <f t="shared" si="267"/>
        <v>0</v>
      </c>
      <c r="CZ116" s="52">
        <f>IF(CW116=0,0,CY116/CW116)</f>
        <v>0</v>
      </c>
      <c r="DA116" s="52" t="e">
        <f aca="true" t="shared" si="280" ref="DA116:DC117">DA84+DA100</f>
        <v>#REF!</v>
      </c>
      <c r="DB116" s="84">
        <f t="shared" si="280"/>
        <v>0</v>
      </c>
      <c r="DC116" s="52" t="e">
        <f t="shared" si="280"/>
        <v>#REF!</v>
      </c>
      <c r="DD116" s="52" t="e">
        <f t="shared" si="268"/>
        <v>#REF!</v>
      </c>
      <c r="DE116" s="83">
        <f>IF(DB116=0,0,DD116/DB116)</f>
        <v>0</v>
      </c>
    </row>
    <row r="117" spans="1:109" ht="15.75" hidden="1">
      <c r="A117" s="98" t="s">
        <v>152</v>
      </c>
      <c r="B117" s="220" t="s">
        <v>35</v>
      </c>
      <c r="C117" s="10" t="s">
        <v>4</v>
      </c>
      <c r="D117" s="52">
        <f>D85+D101</f>
        <v>0</v>
      </c>
      <c r="E117" s="52">
        <f>E85+E101</f>
        <v>0</v>
      </c>
      <c r="F117" s="52"/>
      <c r="G117" s="52"/>
      <c r="H117" s="52"/>
      <c r="I117" s="52">
        <f>I85+I101</f>
        <v>0</v>
      </c>
      <c r="J117" s="52">
        <f>J85+J101</f>
        <v>0</v>
      </c>
      <c r="K117" s="52">
        <f t="shared" si="221"/>
        <v>0</v>
      </c>
      <c r="L117" s="52" t="s">
        <v>250</v>
      </c>
      <c r="M117" s="33">
        <f t="shared" si="269"/>
        <v>0</v>
      </c>
      <c r="N117" s="52">
        <f t="shared" si="269"/>
        <v>0</v>
      </c>
      <c r="O117" s="52"/>
      <c r="P117" s="52"/>
      <c r="Q117" s="52"/>
      <c r="R117" s="52">
        <f t="shared" si="269"/>
        <v>0</v>
      </c>
      <c r="S117" s="52">
        <f t="shared" si="269"/>
        <v>0</v>
      </c>
      <c r="T117" s="52">
        <f t="shared" si="257"/>
        <v>0</v>
      </c>
      <c r="U117" s="52" t="s">
        <v>250</v>
      </c>
      <c r="V117" s="52">
        <f t="shared" si="270"/>
        <v>0</v>
      </c>
      <c r="W117" s="52">
        <f t="shared" si="270"/>
        <v>0</v>
      </c>
      <c r="X117" s="52"/>
      <c r="Y117" s="52"/>
      <c r="Z117" s="52"/>
      <c r="AA117" s="52">
        <f t="shared" si="270"/>
        <v>0</v>
      </c>
      <c r="AB117" s="52">
        <f t="shared" si="270"/>
        <v>0</v>
      </c>
      <c r="AC117" s="52">
        <f t="shared" si="258"/>
        <v>0</v>
      </c>
      <c r="AD117" s="52" t="s">
        <v>250</v>
      </c>
      <c r="AE117" s="52">
        <f t="shared" si="271"/>
        <v>0</v>
      </c>
      <c r="AF117" s="52">
        <f t="shared" si="271"/>
        <v>0</v>
      </c>
      <c r="AG117" s="52"/>
      <c r="AH117" s="52"/>
      <c r="AI117" s="52"/>
      <c r="AJ117" s="52">
        <f t="shared" si="271"/>
        <v>0</v>
      </c>
      <c r="AK117" s="52">
        <f t="shared" si="271"/>
        <v>0</v>
      </c>
      <c r="AL117" s="52">
        <f t="shared" si="259"/>
        <v>0</v>
      </c>
      <c r="AM117" s="52" t="s">
        <v>250</v>
      </c>
      <c r="AN117" s="52">
        <f t="shared" si="272"/>
        <v>0</v>
      </c>
      <c r="AO117" s="52">
        <f t="shared" si="272"/>
        <v>0</v>
      </c>
      <c r="AP117" s="52"/>
      <c r="AQ117" s="52"/>
      <c r="AR117" s="52"/>
      <c r="AS117" s="52">
        <f t="shared" si="272"/>
        <v>0</v>
      </c>
      <c r="AT117" s="52">
        <f t="shared" si="272"/>
        <v>0</v>
      </c>
      <c r="AU117" s="52">
        <f t="shared" si="260"/>
        <v>0</v>
      </c>
      <c r="AV117" s="52" t="s">
        <v>250</v>
      </c>
      <c r="AW117" s="52">
        <f t="shared" si="273"/>
        <v>0</v>
      </c>
      <c r="AX117" s="52">
        <f t="shared" si="273"/>
        <v>0</v>
      </c>
      <c r="AY117" s="52"/>
      <c r="AZ117" s="52"/>
      <c r="BA117" s="52">
        <f t="shared" si="273"/>
        <v>0</v>
      </c>
      <c r="BB117" s="52">
        <f t="shared" si="273"/>
        <v>0</v>
      </c>
      <c r="BC117" s="52">
        <f t="shared" si="261"/>
        <v>0</v>
      </c>
      <c r="BD117" s="52" t="s">
        <v>250</v>
      </c>
      <c r="BE117" s="52">
        <f t="shared" si="274"/>
        <v>0</v>
      </c>
      <c r="BF117" s="52"/>
      <c r="BG117" s="52">
        <f>BG85+BG101</f>
        <v>0</v>
      </c>
      <c r="BH117" s="52"/>
      <c r="BI117" s="52">
        <f t="shared" si="274"/>
        <v>0</v>
      </c>
      <c r="BJ117" s="52">
        <f t="shared" si="274"/>
        <v>0</v>
      </c>
      <c r="BK117" s="52">
        <f t="shared" si="262"/>
        <v>0</v>
      </c>
      <c r="BL117" s="52" t="s">
        <v>250</v>
      </c>
      <c r="BM117" s="52">
        <f t="shared" si="275"/>
        <v>0</v>
      </c>
      <c r="BN117" s="52">
        <f t="shared" si="275"/>
        <v>0</v>
      </c>
      <c r="BO117" s="52"/>
      <c r="BP117" s="52"/>
      <c r="BQ117" s="52">
        <f t="shared" si="275"/>
        <v>0</v>
      </c>
      <c r="BR117" s="52">
        <f t="shared" si="275"/>
        <v>0</v>
      </c>
      <c r="BS117" s="52">
        <f t="shared" si="263"/>
        <v>0</v>
      </c>
      <c r="BT117" s="52" t="s">
        <v>250</v>
      </c>
      <c r="BU117" s="52">
        <f t="shared" si="276"/>
        <v>0</v>
      </c>
      <c r="BV117" s="52">
        <f t="shared" si="276"/>
        <v>0</v>
      </c>
      <c r="BW117" s="52"/>
      <c r="BX117" s="52"/>
      <c r="BY117" s="52">
        <f t="shared" si="276"/>
        <v>0</v>
      </c>
      <c r="BZ117" s="52">
        <f t="shared" si="276"/>
        <v>0</v>
      </c>
      <c r="CA117" s="52">
        <f t="shared" si="264"/>
        <v>0</v>
      </c>
      <c r="CB117" s="52" t="s">
        <v>250</v>
      </c>
      <c r="CC117" s="52">
        <f t="shared" si="277"/>
        <v>0</v>
      </c>
      <c r="CD117" s="52">
        <f t="shared" si="277"/>
        <v>0</v>
      </c>
      <c r="CE117" s="52"/>
      <c r="CF117" s="52"/>
      <c r="CG117" s="52">
        <f t="shared" si="277"/>
        <v>0</v>
      </c>
      <c r="CH117" s="152">
        <f t="shared" si="277"/>
        <v>0</v>
      </c>
      <c r="CI117" s="52">
        <f t="shared" si="265"/>
        <v>0</v>
      </c>
      <c r="CJ117" s="52" t="s">
        <v>250</v>
      </c>
      <c r="CK117" s="52">
        <f t="shared" si="278"/>
        <v>0</v>
      </c>
      <c r="CL117" s="52">
        <f t="shared" si="278"/>
        <v>0</v>
      </c>
      <c r="CM117" s="52"/>
      <c r="CN117" s="52"/>
      <c r="CO117" s="52">
        <f t="shared" si="278"/>
        <v>0</v>
      </c>
      <c r="CP117" s="52">
        <f t="shared" si="278"/>
        <v>0</v>
      </c>
      <c r="CQ117" s="52">
        <f t="shared" si="266"/>
        <v>0</v>
      </c>
      <c r="CR117" s="52" t="s">
        <v>250</v>
      </c>
      <c r="CS117" s="52">
        <f t="shared" si="279"/>
        <v>0</v>
      </c>
      <c r="CT117" s="52">
        <f t="shared" si="279"/>
        <v>0</v>
      </c>
      <c r="CU117" s="52"/>
      <c r="CV117" s="52"/>
      <c r="CW117" s="52">
        <f t="shared" si="279"/>
        <v>0</v>
      </c>
      <c r="CX117" s="52">
        <f t="shared" si="279"/>
        <v>0</v>
      </c>
      <c r="CY117" s="52">
        <f t="shared" si="267"/>
        <v>0</v>
      </c>
      <c r="CZ117" s="52" t="s">
        <v>250</v>
      </c>
      <c r="DA117" s="52" t="e">
        <f t="shared" si="280"/>
        <v>#REF!</v>
      </c>
      <c r="DB117" s="84">
        <f t="shared" si="280"/>
        <v>0</v>
      </c>
      <c r="DC117" s="52" t="e">
        <f t="shared" si="280"/>
        <v>#REF!</v>
      </c>
      <c r="DD117" s="52" t="e">
        <f t="shared" si="268"/>
        <v>#REF!</v>
      </c>
      <c r="DE117" s="83" t="s">
        <v>250</v>
      </c>
    </row>
    <row r="118" spans="1:109" ht="15.75" hidden="1">
      <c r="A118" s="98" t="s">
        <v>153</v>
      </c>
      <c r="B118" s="220"/>
      <c r="C118" s="10" t="s">
        <v>1</v>
      </c>
      <c r="D118" s="51">
        <f>IF(D116=0,0,D117/D116)</f>
        <v>0</v>
      </c>
      <c r="E118" s="51">
        <f>IF(E116=0,0,E117/E116)</f>
        <v>0</v>
      </c>
      <c r="F118" s="51"/>
      <c r="G118" s="51"/>
      <c r="H118" s="51"/>
      <c r="I118" s="51">
        <f>IF(I116=0,0,I117/I116)</f>
        <v>0</v>
      </c>
      <c r="J118" s="51">
        <f>IF(J116=0,0,J117/J116)</f>
        <v>0</v>
      </c>
      <c r="K118" s="51">
        <f t="shared" si="221"/>
        <v>0</v>
      </c>
      <c r="L118" s="51" t="s">
        <v>250</v>
      </c>
      <c r="M118" s="17">
        <f>IF(M116=0,0,M117/M116)</f>
        <v>0</v>
      </c>
      <c r="N118" s="51">
        <f>IF(N116=0,0,N117/N116)</f>
        <v>0</v>
      </c>
      <c r="O118" s="51"/>
      <c r="P118" s="51"/>
      <c r="Q118" s="51"/>
      <c r="R118" s="51">
        <f>IF(R116=0,0,R117/R116)</f>
        <v>0</v>
      </c>
      <c r="S118" s="51">
        <f>IF(S116=0,0,S117/S116)</f>
        <v>0</v>
      </c>
      <c r="T118" s="51">
        <f t="shared" si="257"/>
        <v>0</v>
      </c>
      <c r="U118" s="51" t="s">
        <v>250</v>
      </c>
      <c r="V118" s="51">
        <f>IF(V116=0,0,V117/V116)</f>
        <v>0</v>
      </c>
      <c r="W118" s="51">
        <f>IF(W116=0,0,W117/W116)</f>
        <v>0</v>
      </c>
      <c r="X118" s="51"/>
      <c r="Y118" s="51"/>
      <c r="Z118" s="51"/>
      <c r="AA118" s="51">
        <f>IF(AA116=0,0,AA117/AA116)</f>
        <v>0</v>
      </c>
      <c r="AB118" s="51">
        <f>IF(AB116=0,0,AB117/AB116)</f>
        <v>0</v>
      </c>
      <c r="AC118" s="51">
        <f t="shared" si="258"/>
        <v>0</v>
      </c>
      <c r="AD118" s="51" t="s">
        <v>250</v>
      </c>
      <c r="AE118" s="51">
        <f>IF(AE116=0,0,AE117/AE116)</f>
        <v>0</v>
      </c>
      <c r="AF118" s="51">
        <f>IF(AF116=0,0,AF117/AF116)</f>
        <v>0</v>
      </c>
      <c r="AG118" s="51"/>
      <c r="AH118" s="51"/>
      <c r="AI118" s="51"/>
      <c r="AJ118" s="51">
        <f>IF(AJ116=0,0,AJ117/AJ116)</f>
        <v>0</v>
      </c>
      <c r="AK118" s="51">
        <f>IF(AK116=0,0,AK117/AK116)</f>
        <v>0</v>
      </c>
      <c r="AL118" s="51">
        <f t="shared" si="259"/>
        <v>0</v>
      </c>
      <c r="AM118" s="51" t="s">
        <v>250</v>
      </c>
      <c r="AN118" s="51">
        <f>IF(AN116=0,0,AN117/AN116)</f>
        <v>0</v>
      </c>
      <c r="AO118" s="51">
        <f>IF(AO116=0,0,AO117/AO116)</f>
        <v>0</v>
      </c>
      <c r="AP118" s="51"/>
      <c r="AQ118" s="51"/>
      <c r="AR118" s="51"/>
      <c r="AS118" s="51">
        <f>IF(AS116=0,0,AS117/AS116)</f>
        <v>0</v>
      </c>
      <c r="AT118" s="51">
        <f>IF(AT116=0,0,AT117/AT116)</f>
        <v>0</v>
      </c>
      <c r="AU118" s="51">
        <f t="shared" si="260"/>
        <v>0</v>
      </c>
      <c r="AV118" s="51" t="s">
        <v>250</v>
      </c>
      <c r="AW118" s="51">
        <f>IF(AW116=0,0,AW117/AW116)</f>
        <v>0</v>
      </c>
      <c r="AX118" s="51">
        <f>IF(AX116=0,0,AX117/AX116)</f>
        <v>0</v>
      </c>
      <c r="AY118" s="51"/>
      <c r="AZ118" s="51"/>
      <c r="BA118" s="51">
        <f>IF(BA116=0,0,BA117/BA116)</f>
        <v>0</v>
      </c>
      <c r="BB118" s="51">
        <f>IF(BB116=0,0,BB117/BB116)</f>
        <v>0</v>
      </c>
      <c r="BC118" s="51">
        <f t="shared" si="261"/>
        <v>0</v>
      </c>
      <c r="BD118" s="51" t="s">
        <v>250</v>
      </c>
      <c r="BE118" s="51">
        <f>IF(BE116=0,0,BE117/BE116)</f>
        <v>0</v>
      </c>
      <c r="BF118" s="51"/>
      <c r="BG118" s="51">
        <f>IF(BG116=0,0,BG117/BG116)</f>
        <v>0</v>
      </c>
      <c r="BH118" s="51"/>
      <c r="BI118" s="51">
        <f>IF(BI116=0,0,BI117/BI116)</f>
        <v>0</v>
      </c>
      <c r="BJ118" s="51">
        <f>IF(BJ116=0,0,BJ117/BJ116)</f>
        <v>0</v>
      </c>
      <c r="BK118" s="51">
        <f t="shared" si="262"/>
        <v>0</v>
      </c>
      <c r="BL118" s="51" t="s">
        <v>250</v>
      </c>
      <c r="BM118" s="51">
        <f>IF(BM116=0,0,BM117/BM116)</f>
        <v>0</v>
      </c>
      <c r="BN118" s="51">
        <f>IF(BN116=0,0,BN117/BN116)</f>
        <v>0</v>
      </c>
      <c r="BO118" s="51"/>
      <c r="BP118" s="51"/>
      <c r="BQ118" s="51">
        <f>IF(BQ116=0,0,BQ117/BQ116)</f>
        <v>0</v>
      </c>
      <c r="BR118" s="51">
        <f>IF(BR116=0,0,BR117/BR116)</f>
        <v>0</v>
      </c>
      <c r="BS118" s="51">
        <f t="shared" si="263"/>
        <v>0</v>
      </c>
      <c r="BT118" s="51" t="s">
        <v>250</v>
      </c>
      <c r="BU118" s="51">
        <f>IF(BU116=0,0,BU117/BU116)</f>
        <v>0</v>
      </c>
      <c r="BV118" s="51">
        <f>IF(BV116=0,0,BV117/BV116)</f>
        <v>0</v>
      </c>
      <c r="BW118" s="51"/>
      <c r="BX118" s="51"/>
      <c r="BY118" s="51">
        <f>IF(BY116=0,0,BY117/BY116)</f>
        <v>0</v>
      </c>
      <c r="BZ118" s="51">
        <f>IF(BZ116=0,0,BZ117/BZ116)</f>
        <v>0</v>
      </c>
      <c r="CA118" s="51">
        <f t="shared" si="264"/>
        <v>0</v>
      </c>
      <c r="CB118" s="51" t="s">
        <v>250</v>
      </c>
      <c r="CC118" s="51">
        <f>IF(CC116=0,0,CC117/CC116)</f>
        <v>0</v>
      </c>
      <c r="CD118" s="51">
        <f>IF(CD116=0,0,CD117/CD116)</f>
        <v>0</v>
      </c>
      <c r="CE118" s="51"/>
      <c r="CF118" s="51"/>
      <c r="CG118" s="51">
        <f>IF(CG116=0,0,CG117/CG116)</f>
        <v>0</v>
      </c>
      <c r="CH118" s="152">
        <f>IF(CH116=0,0,CH117/CH116)</f>
        <v>0</v>
      </c>
      <c r="CI118" s="51">
        <f t="shared" si="265"/>
        <v>0</v>
      </c>
      <c r="CJ118" s="51" t="s">
        <v>250</v>
      </c>
      <c r="CK118" s="51">
        <f>IF(CK116=0,0,CK117/CK116)</f>
        <v>0</v>
      </c>
      <c r="CL118" s="51">
        <f>IF(CL116=0,0,CL117/CL116)</f>
        <v>0</v>
      </c>
      <c r="CM118" s="51"/>
      <c r="CN118" s="51"/>
      <c r="CO118" s="51">
        <f>IF(CO116=0,0,CO117/CO116)</f>
        <v>0</v>
      </c>
      <c r="CP118" s="51">
        <f>IF(CP116=0,0,CP117/CP116)</f>
        <v>0</v>
      </c>
      <c r="CQ118" s="51">
        <f t="shared" si="266"/>
        <v>0</v>
      </c>
      <c r="CR118" s="51" t="s">
        <v>250</v>
      </c>
      <c r="CS118" s="51">
        <f>IF(CS116=0,0,CS117/CS116)</f>
        <v>0</v>
      </c>
      <c r="CT118" s="51">
        <f>IF(CT116=0,0,CT117/CT116)</f>
        <v>0</v>
      </c>
      <c r="CU118" s="51"/>
      <c r="CV118" s="51"/>
      <c r="CW118" s="51">
        <f>IF(CW116=0,0,CW117/CW116)</f>
        <v>0</v>
      </c>
      <c r="CX118" s="51">
        <f>IF(CX116=0,0,CX117/CX116)</f>
        <v>0</v>
      </c>
      <c r="CY118" s="51">
        <f t="shared" si="267"/>
        <v>0</v>
      </c>
      <c r="CZ118" s="51" t="s">
        <v>250</v>
      </c>
      <c r="DA118" s="51" t="e">
        <f>IF(DA116=0,0,DA117/DA116)</f>
        <v>#REF!</v>
      </c>
      <c r="DB118" s="85">
        <f>IF(DB116=0,0,DB117/DB116)</f>
        <v>0</v>
      </c>
      <c r="DC118" s="51" t="e">
        <f>IF(DC116=0,0,DC117/DC116)</f>
        <v>#REF!</v>
      </c>
      <c r="DD118" s="51" t="e">
        <f t="shared" si="268"/>
        <v>#REF!</v>
      </c>
      <c r="DE118" s="86" t="s">
        <v>250</v>
      </c>
    </row>
    <row r="119" spans="1:109" ht="15.75" hidden="1">
      <c r="A119" s="98" t="s">
        <v>154</v>
      </c>
      <c r="B119" s="35" t="s">
        <v>38</v>
      </c>
      <c r="C119" s="10" t="s">
        <v>4</v>
      </c>
      <c r="D119" s="52">
        <f>D87+D103</f>
        <v>0</v>
      </c>
      <c r="E119" s="52">
        <f>E87+E103</f>
        <v>0</v>
      </c>
      <c r="F119" s="52"/>
      <c r="G119" s="52"/>
      <c r="H119" s="52"/>
      <c r="I119" s="52">
        <f>I87+I103</f>
        <v>0</v>
      </c>
      <c r="J119" s="52">
        <f>J87+J103</f>
        <v>0</v>
      </c>
      <c r="K119" s="52">
        <f t="shared" si="221"/>
        <v>0</v>
      </c>
      <c r="L119" s="52">
        <f t="shared" si="256"/>
        <v>0</v>
      </c>
      <c r="M119" s="17">
        <f>M87+M103</f>
        <v>0</v>
      </c>
      <c r="N119" s="52">
        <f>N87+N103</f>
        <v>0</v>
      </c>
      <c r="O119" s="52"/>
      <c r="P119" s="52"/>
      <c r="Q119" s="52"/>
      <c r="R119" s="52">
        <f>R87+R103</f>
        <v>0</v>
      </c>
      <c r="S119" s="52">
        <f>S87+S103</f>
        <v>0</v>
      </c>
      <c r="T119" s="52">
        <f t="shared" si="257"/>
        <v>0</v>
      </c>
      <c r="U119" s="52">
        <f>IF(R119=0,0,T119/R119)</f>
        <v>0</v>
      </c>
      <c r="V119" s="52">
        <f>V87+V103</f>
        <v>0</v>
      </c>
      <c r="W119" s="52">
        <f>W87+W103</f>
        <v>0</v>
      </c>
      <c r="X119" s="52"/>
      <c r="Y119" s="52"/>
      <c r="Z119" s="52"/>
      <c r="AA119" s="52">
        <f>AA87+AA103</f>
        <v>0</v>
      </c>
      <c r="AB119" s="52">
        <f>AB87+AB103</f>
        <v>0</v>
      </c>
      <c r="AC119" s="52">
        <f t="shared" si="258"/>
        <v>0</v>
      </c>
      <c r="AD119" s="52">
        <f>IF(AA119=0,0,AC119/AA119)</f>
        <v>0</v>
      </c>
      <c r="AE119" s="52">
        <f>AE87+AE103</f>
        <v>0</v>
      </c>
      <c r="AF119" s="52">
        <f>AF87+AF103</f>
        <v>0</v>
      </c>
      <c r="AG119" s="52"/>
      <c r="AH119" s="52"/>
      <c r="AI119" s="52"/>
      <c r="AJ119" s="52">
        <f>AJ87+AJ103</f>
        <v>0</v>
      </c>
      <c r="AK119" s="52">
        <f>AK87+AK103</f>
        <v>0</v>
      </c>
      <c r="AL119" s="52">
        <f t="shared" si="259"/>
        <v>0</v>
      </c>
      <c r="AM119" s="52">
        <f>IF(AJ119=0,0,AL119/AJ119)</f>
        <v>0</v>
      </c>
      <c r="AN119" s="52">
        <f>AN87+AN103</f>
        <v>0</v>
      </c>
      <c r="AO119" s="52">
        <f>AO87+AO103</f>
        <v>0</v>
      </c>
      <c r="AP119" s="52"/>
      <c r="AQ119" s="52"/>
      <c r="AR119" s="52"/>
      <c r="AS119" s="52">
        <f>AS87+AS103</f>
        <v>0</v>
      </c>
      <c r="AT119" s="52">
        <f>AT87+AT103</f>
        <v>0</v>
      </c>
      <c r="AU119" s="52">
        <f t="shared" si="260"/>
        <v>0</v>
      </c>
      <c r="AV119" s="52">
        <f>IF(AS119=0,0,AU119/AS119)</f>
        <v>0</v>
      </c>
      <c r="AW119" s="52">
        <f>AW87+AW103</f>
        <v>0</v>
      </c>
      <c r="AX119" s="52">
        <f>AX87+AX103</f>
        <v>0</v>
      </c>
      <c r="AY119" s="52"/>
      <c r="AZ119" s="52"/>
      <c r="BA119" s="52">
        <f>BA87+BA103</f>
        <v>0</v>
      </c>
      <c r="BB119" s="52">
        <f>BB87+BB103</f>
        <v>0</v>
      </c>
      <c r="BC119" s="52">
        <f t="shared" si="261"/>
        <v>0</v>
      </c>
      <c r="BD119" s="52">
        <f>IF(BA119=0,0,BC119/BA119)</f>
        <v>0</v>
      </c>
      <c r="BE119" s="52">
        <f>BE87+BE103</f>
        <v>0</v>
      </c>
      <c r="BF119" s="52"/>
      <c r="BG119" s="52">
        <f>BG87+BG103</f>
        <v>0</v>
      </c>
      <c r="BH119" s="52"/>
      <c r="BI119" s="52">
        <f>BI87+BI103</f>
        <v>0</v>
      </c>
      <c r="BJ119" s="52">
        <f>BJ87+BJ103</f>
        <v>0</v>
      </c>
      <c r="BK119" s="52">
        <f t="shared" si="262"/>
        <v>0</v>
      </c>
      <c r="BL119" s="52">
        <f>IF(BI119=0,0,BK119/BI119)</f>
        <v>0</v>
      </c>
      <c r="BM119" s="52">
        <f>BM87+BM103</f>
        <v>0</v>
      </c>
      <c r="BN119" s="52">
        <f>BN87+BN103</f>
        <v>0</v>
      </c>
      <c r="BO119" s="52"/>
      <c r="BP119" s="52"/>
      <c r="BQ119" s="52">
        <f>BQ87+BQ103</f>
        <v>0</v>
      </c>
      <c r="BR119" s="52">
        <f>BR87+BR103</f>
        <v>0</v>
      </c>
      <c r="BS119" s="52">
        <f t="shared" si="263"/>
        <v>0</v>
      </c>
      <c r="BT119" s="52">
        <f>IF(BQ119=0,0,BS119/BQ119)</f>
        <v>0</v>
      </c>
      <c r="BU119" s="52">
        <f>BU87+BU103</f>
        <v>0</v>
      </c>
      <c r="BV119" s="52">
        <f>BV87+BV103</f>
        <v>0</v>
      </c>
      <c r="BW119" s="52"/>
      <c r="BX119" s="52"/>
      <c r="BY119" s="52">
        <f>BY87+BY103</f>
        <v>0</v>
      </c>
      <c r="BZ119" s="52">
        <f>BZ87+BZ103</f>
        <v>0</v>
      </c>
      <c r="CA119" s="52">
        <f t="shared" si="264"/>
        <v>0</v>
      </c>
      <c r="CB119" s="52">
        <f>IF(BY119=0,0,CA119/BY119)</f>
        <v>0</v>
      </c>
      <c r="CC119" s="52">
        <f>CC87+CC103</f>
        <v>0</v>
      </c>
      <c r="CD119" s="52">
        <f>CD87+CD103</f>
        <v>0</v>
      </c>
      <c r="CE119" s="52"/>
      <c r="CF119" s="52"/>
      <c r="CG119" s="52">
        <f>CG87+CG103</f>
        <v>0</v>
      </c>
      <c r="CH119" s="152">
        <f>CH87+CH103</f>
        <v>0</v>
      </c>
      <c r="CI119" s="52">
        <f t="shared" si="265"/>
        <v>0</v>
      </c>
      <c r="CJ119" s="52">
        <f>IF(CG119=0,0,CI119/CG119)</f>
        <v>0</v>
      </c>
      <c r="CK119" s="52">
        <f>CK87+CK103</f>
        <v>0</v>
      </c>
      <c r="CL119" s="52">
        <f>CL87+CL103</f>
        <v>0</v>
      </c>
      <c r="CM119" s="52"/>
      <c r="CN119" s="52"/>
      <c r="CO119" s="52">
        <f>CO87+CO103</f>
        <v>0</v>
      </c>
      <c r="CP119" s="52">
        <f>CP87+CP103</f>
        <v>0</v>
      </c>
      <c r="CQ119" s="52">
        <f t="shared" si="266"/>
        <v>0</v>
      </c>
      <c r="CR119" s="52">
        <f>IF(CO119=0,0,CQ119/CO119)</f>
        <v>0</v>
      </c>
      <c r="CS119" s="52">
        <f>CS87+CS103</f>
        <v>0</v>
      </c>
      <c r="CT119" s="52">
        <f>CT87+CT103</f>
        <v>0</v>
      </c>
      <c r="CU119" s="52"/>
      <c r="CV119" s="52"/>
      <c r="CW119" s="52">
        <f>CW87+CW103</f>
        <v>0</v>
      </c>
      <c r="CX119" s="52">
        <f>CX87+CX103</f>
        <v>0</v>
      </c>
      <c r="CY119" s="52">
        <f t="shared" si="267"/>
        <v>0</v>
      </c>
      <c r="CZ119" s="52">
        <f>IF(CW119=0,0,CY119/CW119)</f>
        <v>0</v>
      </c>
      <c r="DA119" s="52" t="e">
        <f>DA87+DA103</f>
        <v>#REF!</v>
      </c>
      <c r="DB119" s="84">
        <f>DB87+DB103</f>
        <v>0</v>
      </c>
      <c r="DC119" s="52" t="e">
        <f>DC87+DC103</f>
        <v>#REF!</v>
      </c>
      <c r="DD119" s="52" t="e">
        <f t="shared" si="268"/>
        <v>#REF!</v>
      </c>
      <c r="DE119" s="83">
        <f>IF(DB119=0,0,DD119/DB119)</f>
        <v>0</v>
      </c>
    </row>
    <row r="120" spans="1:109" ht="15.75" hidden="1">
      <c r="A120" s="98" t="s">
        <v>155</v>
      </c>
      <c r="B120" s="36" t="s">
        <v>39</v>
      </c>
      <c r="C120" s="10" t="s">
        <v>4</v>
      </c>
      <c r="D120" s="52">
        <f>D116-D117-D119</f>
        <v>0</v>
      </c>
      <c r="E120" s="52">
        <f>E116-E117-E119</f>
        <v>0</v>
      </c>
      <c r="F120" s="52"/>
      <c r="G120" s="52"/>
      <c r="H120" s="52"/>
      <c r="I120" s="52">
        <f>I116-I117-I119</f>
        <v>0</v>
      </c>
      <c r="J120" s="52">
        <f>J116-J117-J119</f>
        <v>0</v>
      </c>
      <c r="K120" s="52">
        <f t="shared" si="221"/>
        <v>0</v>
      </c>
      <c r="L120" s="52">
        <f t="shared" si="256"/>
        <v>0</v>
      </c>
      <c r="M120" s="52">
        <f>M116-M117-M119</f>
        <v>0</v>
      </c>
      <c r="N120" s="52">
        <f>N116-N117-N119</f>
        <v>0</v>
      </c>
      <c r="O120" s="52"/>
      <c r="P120" s="52"/>
      <c r="Q120" s="52"/>
      <c r="R120" s="52">
        <f>R116-R117-R119</f>
        <v>0</v>
      </c>
      <c r="S120" s="52">
        <f>S116-S117-S119</f>
        <v>0</v>
      </c>
      <c r="T120" s="52">
        <f t="shared" si="257"/>
        <v>0</v>
      </c>
      <c r="U120" s="52">
        <f>IF(R120=0,0,T120/R120)</f>
        <v>0</v>
      </c>
      <c r="V120" s="52">
        <f>V116-V117-V119</f>
        <v>0</v>
      </c>
      <c r="W120" s="52">
        <f>W116-W117-W119</f>
        <v>0</v>
      </c>
      <c r="X120" s="52"/>
      <c r="Y120" s="52"/>
      <c r="Z120" s="52"/>
      <c r="AA120" s="52">
        <f>AA116-AA117-AA119</f>
        <v>0</v>
      </c>
      <c r="AB120" s="52">
        <f>AB116-AB117-AB119</f>
        <v>0</v>
      </c>
      <c r="AC120" s="52">
        <f t="shared" si="258"/>
        <v>0</v>
      </c>
      <c r="AD120" s="52">
        <f>IF(AA120=0,0,AC120/AA120)</f>
        <v>0</v>
      </c>
      <c r="AE120" s="52">
        <f>AE116-AE117-AE119</f>
        <v>0</v>
      </c>
      <c r="AF120" s="52">
        <f>AF116-AF117-AF119</f>
        <v>0</v>
      </c>
      <c r="AG120" s="52"/>
      <c r="AH120" s="52"/>
      <c r="AI120" s="52"/>
      <c r="AJ120" s="52">
        <f>AJ116-AJ117-AJ119</f>
        <v>0</v>
      </c>
      <c r="AK120" s="52">
        <f>AK116-AK117-AK119</f>
        <v>0</v>
      </c>
      <c r="AL120" s="52">
        <f t="shared" si="259"/>
        <v>0</v>
      </c>
      <c r="AM120" s="52">
        <f>IF(AJ120=0,0,AL120/AJ120)</f>
        <v>0</v>
      </c>
      <c r="AN120" s="52">
        <f>AN116-AN117-AN119</f>
        <v>0</v>
      </c>
      <c r="AO120" s="52">
        <f>AO116-AO117-AO119</f>
        <v>0</v>
      </c>
      <c r="AP120" s="52"/>
      <c r="AQ120" s="52"/>
      <c r="AR120" s="52"/>
      <c r="AS120" s="52">
        <f>AS116-AS117-AS119</f>
        <v>0</v>
      </c>
      <c r="AT120" s="52">
        <f>AT116-AT117-AT119</f>
        <v>0</v>
      </c>
      <c r="AU120" s="52">
        <f t="shared" si="260"/>
        <v>0</v>
      </c>
      <c r="AV120" s="52">
        <f>IF(AS120=0,0,AU120/AS120)</f>
        <v>0</v>
      </c>
      <c r="AW120" s="52">
        <f>AW116-AW117-AW119</f>
        <v>0</v>
      </c>
      <c r="AX120" s="52">
        <f>AX116-AX117-AX119</f>
        <v>0</v>
      </c>
      <c r="AY120" s="52"/>
      <c r="AZ120" s="52"/>
      <c r="BA120" s="52">
        <f>BA116-BA117-BA119</f>
        <v>0</v>
      </c>
      <c r="BB120" s="52">
        <f>BB116-BB117-BB119</f>
        <v>0</v>
      </c>
      <c r="BC120" s="52">
        <f t="shared" si="261"/>
        <v>0</v>
      </c>
      <c r="BD120" s="52">
        <f>IF(BA120=0,0,BC120/BA120)</f>
        <v>0</v>
      </c>
      <c r="BE120" s="52">
        <f>BE116-BE117-BE119</f>
        <v>0</v>
      </c>
      <c r="BF120" s="52"/>
      <c r="BG120" s="52">
        <f>BG116-BG117-BG119</f>
        <v>0</v>
      </c>
      <c r="BH120" s="52"/>
      <c r="BI120" s="52">
        <f>BI116-BI117-BI119</f>
        <v>0</v>
      </c>
      <c r="BJ120" s="52">
        <f>BJ116-BJ117-BJ119</f>
        <v>0</v>
      </c>
      <c r="BK120" s="52">
        <f t="shared" si="262"/>
        <v>0</v>
      </c>
      <c r="BL120" s="52">
        <f>IF(BI120=0,0,BK120/BI120)</f>
        <v>0</v>
      </c>
      <c r="BM120" s="52">
        <f>BM116-BM117-BM119</f>
        <v>0</v>
      </c>
      <c r="BN120" s="52">
        <f>BN116-BN117-BN119</f>
        <v>0</v>
      </c>
      <c r="BO120" s="52"/>
      <c r="BP120" s="52"/>
      <c r="BQ120" s="52">
        <f>BQ116-BQ117-BQ119</f>
        <v>0</v>
      </c>
      <c r="BR120" s="52">
        <f>BR116-BR117-BR119</f>
        <v>0</v>
      </c>
      <c r="BS120" s="52">
        <f t="shared" si="263"/>
        <v>0</v>
      </c>
      <c r="BT120" s="52">
        <f>IF(BQ120=0,0,BS120/BQ120)</f>
        <v>0</v>
      </c>
      <c r="BU120" s="52">
        <f>BU116-BU117-BU119</f>
        <v>0</v>
      </c>
      <c r="BV120" s="52">
        <f>BV116-BV117-BV119</f>
        <v>0</v>
      </c>
      <c r="BW120" s="52"/>
      <c r="BX120" s="52"/>
      <c r="BY120" s="52">
        <f>BY116-BY117-BY119</f>
        <v>0</v>
      </c>
      <c r="BZ120" s="52">
        <f>BZ116-BZ117-BZ119</f>
        <v>0</v>
      </c>
      <c r="CA120" s="52">
        <f t="shared" si="264"/>
        <v>0</v>
      </c>
      <c r="CB120" s="52">
        <f>IF(BY120=0,0,CA120/BY120)</f>
        <v>0</v>
      </c>
      <c r="CC120" s="52">
        <f>CC116-CC117-CC119</f>
        <v>0</v>
      </c>
      <c r="CD120" s="52">
        <f>CD116-CD117-CD119</f>
        <v>0</v>
      </c>
      <c r="CE120" s="52"/>
      <c r="CF120" s="52"/>
      <c r="CG120" s="52">
        <f>CG116-CG117-CG119</f>
        <v>0</v>
      </c>
      <c r="CH120" s="152">
        <f>CH116-CH117-CH119</f>
        <v>0</v>
      </c>
      <c r="CI120" s="52">
        <f t="shared" si="265"/>
        <v>0</v>
      </c>
      <c r="CJ120" s="52">
        <f>IF(CG120=0,0,CI120/CG120)</f>
        <v>0</v>
      </c>
      <c r="CK120" s="52">
        <f>CK116-CK117-CK119</f>
        <v>0</v>
      </c>
      <c r="CL120" s="52">
        <f>CL116-CL117-CL119</f>
        <v>0</v>
      </c>
      <c r="CM120" s="52"/>
      <c r="CN120" s="52"/>
      <c r="CO120" s="52">
        <f>CO116-CO117-CO119</f>
        <v>0</v>
      </c>
      <c r="CP120" s="52">
        <f>CP116-CP117-CP119</f>
        <v>0</v>
      </c>
      <c r="CQ120" s="52">
        <f t="shared" si="266"/>
        <v>0</v>
      </c>
      <c r="CR120" s="52">
        <f>IF(CO120=0,0,CQ120/CO120)</f>
        <v>0</v>
      </c>
      <c r="CS120" s="52">
        <f>CS116-CS117-CS119</f>
        <v>0</v>
      </c>
      <c r="CT120" s="52">
        <f>CT116-CT117-CT119</f>
        <v>0</v>
      </c>
      <c r="CU120" s="52"/>
      <c r="CV120" s="52"/>
      <c r="CW120" s="52">
        <f>CW116-CW117-CW119</f>
        <v>0</v>
      </c>
      <c r="CX120" s="52">
        <f>CX116-CX117-CX119</f>
        <v>0</v>
      </c>
      <c r="CY120" s="52">
        <f t="shared" si="267"/>
        <v>0</v>
      </c>
      <c r="CZ120" s="52">
        <f>IF(CW120=0,0,CY120/CW120)</f>
        <v>0</v>
      </c>
      <c r="DA120" s="52" t="e">
        <f>DA116-DA117-DA119</f>
        <v>#REF!</v>
      </c>
      <c r="DB120" s="84">
        <f>DB116-DB117-DB119</f>
        <v>0</v>
      </c>
      <c r="DC120" s="52" t="e">
        <f>DC116-DC117-DC119</f>
        <v>#REF!</v>
      </c>
      <c r="DD120" s="52" t="e">
        <f t="shared" si="268"/>
        <v>#REF!</v>
      </c>
      <c r="DE120" s="83">
        <f>IF(DB120=0,0,DD120/DB120)</f>
        <v>0</v>
      </c>
    </row>
    <row r="121" spans="1:109" ht="15.75" hidden="1">
      <c r="A121" s="98" t="s">
        <v>156</v>
      </c>
      <c r="B121" s="220" t="s">
        <v>40</v>
      </c>
      <c r="C121" s="10" t="s">
        <v>4</v>
      </c>
      <c r="D121" s="52">
        <f>D120-D123</f>
        <v>0</v>
      </c>
      <c r="E121" s="52">
        <f>E120-E123</f>
        <v>0</v>
      </c>
      <c r="F121" s="52"/>
      <c r="G121" s="52"/>
      <c r="H121" s="52"/>
      <c r="I121" s="52">
        <f>I120-I123</f>
        <v>0</v>
      </c>
      <c r="J121" s="52">
        <f>J120-J123</f>
        <v>0</v>
      </c>
      <c r="K121" s="52">
        <f t="shared" si="221"/>
        <v>0</v>
      </c>
      <c r="L121" s="52" t="s">
        <v>250</v>
      </c>
      <c r="M121" s="51">
        <f>M120-M123</f>
        <v>0</v>
      </c>
      <c r="N121" s="52">
        <f>N120-N123</f>
        <v>0</v>
      </c>
      <c r="O121" s="52"/>
      <c r="P121" s="52"/>
      <c r="Q121" s="52"/>
      <c r="R121" s="52">
        <f>R120-R123</f>
        <v>0</v>
      </c>
      <c r="S121" s="52">
        <f>S120-S123</f>
        <v>0</v>
      </c>
      <c r="T121" s="52">
        <f t="shared" si="257"/>
        <v>0</v>
      </c>
      <c r="U121" s="52" t="s">
        <v>250</v>
      </c>
      <c r="V121" s="52">
        <f>V120-V123</f>
        <v>0</v>
      </c>
      <c r="W121" s="52">
        <f>W120-W123</f>
        <v>0</v>
      </c>
      <c r="X121" s="52"/>
      <c r="Y121" s="52"/>
      <c r="Z121" s="52"/>
      <c r="AA121" s="52">
        <f>AA120-AA123</f>
        <v>0</v>
      </c>
      <c r="AB121" s="52">
        <f>AB120-AB123</f>
        <v>0</v>
      </c>
      <c r="AC121" s="52">
        <f t="shared" si="258"/>
        <v>0</v>
      </c>
      <c r="AD121" s="52" t="s">
        <v>250</v>
      </c>
      <c r="AE121" s="52">
        <f>AE120-AE123</f>
        <v>0</v>
      </c>
      <c r="AF121" s="52">
        <f>AF120-AF123</f>
        <v>0</v>
      </c>
      <c r="AG121" s="52"/>
      <c r="AH121" s="52"/>
      <c r="AI121" s="52"/>
      <c r="AJ121" s="52">
        <f>AJ120-AJ123</f>
        <v>0</v>
      </c>
      <c r="AK121" s="52">
        <f>AK120-AK123</f>
        <v>0</v>
      </c>
      <c r="AL121" s="52">
        <f t="shared" si="259"/>
        <v>0</v>
      </c>
      <c r="AM121" s="52" t="s">
        <v>250</v>
      </c>
      <c r="AN121" s="52">
        <f>AN120-AN123</f>
        <v>0</v>
      </c>
      <c r="AO121" s="52">
        <f>AO120-AO123</f>
        <v>0</v>
      </c>
      <c r="AP121" s="52"/>
      <c r="AQ121" s="52"/>
      <c r="AR121" s="52"/>
      <c r="AS121" s="52">
        <f>AS120-AS123</f>
        <v>0</v>
      </c>
      <c r="AT121" s="52">
        <f>AT120-AT123</f>
        <v>0</v>
      </c>
      <c r="AU121" s="52">
        <f t="shared" si="260"/>
        <v>0</v>
      </c>
      <c r="AV121" s="52" t="s">
        <v>250</v>
      </c>
      <c r="AW121" s="52">
        <f>AW120-AW123</f>
        <v>0</v>
      </c>
      <c r="AX121" s="52">
        <f>AX120-AX123</f>
        <v>0</v>
      </c>
      <c r="AY121" s="52"/>
      <c r="AZ121" s="52"/>
      <c r="BA121" s="52">
        <f>BA120-BA123</f>
        <v>0</v>
      </c>
      <c r="BB121" s="52">
        <f>BB120-BB123</f>
        <v>0</v>
      </c>
      <c r="BC121" s="52">
        <f t="shared" si="261"/>
        <v>0</v>
      </c>
      <c r="BD121" s="52" t="s">
        <v>250</v>
      </c>
      <c r="BE121" s="52">
        <f>BE120-BE123</f>
        <v>0</v>
      </c>
      <c r="BF121" s="52"/>
      <c r="BG121" s="52">
        <f>BG120-BG123</f>
        <v>0</v>
      </c>
      <c r="BH121" s="52"/>
      <c r="BI121" s="52">
        <f>BI120-BI123</f>
        <v>0</v>
      </c>
      <c r="BJ121" s="52">
        <f>BJ120-BJ123</f>
        <v>0</v>
      </c>
      <c r="BK121" s="52">
        <f t="shared" si="262"/>
        <v>0</v>
      </c>
      <c r="BL121" s="52" t="s">
        <v>250</v>
      </c>
      <c r="BM121" s="52">
        <f>BM120-BM123</f>
        <v>0</v>
      </c>
      <c r="BN121" s="52">
        <f>BN120-BN123</f>
        <v>0</v>
      </c>
      <c r="BO121" s="52"/>
      <c r="BP121" s="52"/>
      <c r="BQ121" s="52">
        <f>BQ120-BQ123</f>
        <v>0</v>
      </c>
      <c r="BR121" s="52">
        <f>BR120-BR123</f>
        <v>0</v>
      </c>
      <c r="BS121" s="52">
        <f t="shared" si="263"/>
        <v>0</v>
      </c>
      <c r="BT121" s="52" t="s">
        <v>250</v>
      </c>
      <c r="BU121" s="52">
        <f>BU120-BU123</f>
        <v>0</v>
      </c>
      <c r="BV121" s="52">
        <f>BV120-BV123</f>
        <v>0</v>
      </c>
      <c r="BW121" s="52"/>
      <c r="BX121" s="52"/>
      <c r="BY121" s="52">
        <f>BY120-BY123</f>
        <v>0</v>
      </c>
      <c r="BZ121" s="52">
        <f>BZ120-BZ123</f>
        <v>0</v>
      </c>
      <c r="CA121" s="52">
        <f t="shared" si="264"/>
        <v>0</v>
      </c>
      <c r="CB121" s="52" t="s">
        <v>250</v>
      </c>
      <c r="CC121" s="52">
        <f>CC120-CC123</f>
        <v>0</v>
      </c>
      <c r="CD121" s="52">
        <f>CD120-CD123</f>
        <v>0</v>
      </c>
      <c r="CE121" s="52"/>
      <c r="CF121" s="52"/>
      <c r="CG121" s="52">
        <f>CG120-CG123</f>
        <v>0</v>
      </c>
      <c r="CH121" s="152">
        <f>CH120-CH123</f>
        <v>0</v>
      </c>
      <c r="CI121" s="52">
        <f t="shared" si="265"/>
        <v>0</v>
      </c>
      <c r="CJ121" s="52" t="s">
        <v>250</v>
      </c>
      <c r="CK121" s="52">
        <f>CK120-CK123</f>
        <v>0</v>
      </c>
      <c r="CL121" s="52">
        <f>CL120-CL123</f>
        <v>0</v>
      </c>
      <c r="CM121" s="52"/>
      <c r="CN121" s="52"/>
      <c r="CO121" s="52">
        <f>CO120-CO123</f>
        <v>0</v>
      </c>
      <c r="CP121" s="52">
        <f>CP120-CP123</f>
        <v>0</v>
      </c>
      <c r="CQ121" s="52">
        <f t="shared" si="266"/>
        <v>0</v>
      </c>
      <c r="CR121" s="52" t="s">
        <v>250</v>
      </c>
      <c r="CS121" s="52">
        <f>CS120-CS123</f>
        <v>0</v>
      </c>
      <c r="CT121" s="52">
        <f>CT120-CT123</f>
        <v>0</v>
      </c>
      <c r="CU121" s="52"/>
      <c r="CV121" s="52"/>
      <c r="CW121" s="52">
        <f>CW120-CW123</f>
        <v>0</v>
      </c>
      <c r="CX121" s="52">
        <f>CX120-CX123</f>
        <v>0</v>
      </c>
      <c r="CY121" s="52">
        <f t="shared" si="267"/>
        <v>0</v>
      </c>
      <c r="CZ121" s="52" t="s">
        <v>250</v>
      </c>
      <c r="DA121" s="52" t="e">
        <f>DA120-DA123</f>
        <v>#REF!</v>
      </c>
      <c r="DB121" s="84">
        <f>DB120-DB123</f>
        <v>0</v>
      </c>
      <c r="DC121" s="52" t="e">
        <f>DC120-DC123</f>
        <v>#REF!</v>
      </c>
      <c r="DD121" s="52" t="e">
        <f t="shared" si="268"/>
        <v>#REF!</v>
      </c>
      <c r="DE121" s="83" t="s">
        <v>250</v>
      </c>
    </row>
    <row r="122" spans="1:109" ht="15.75" hidden="1">
      <c r="A122" s="98" t="s">
        <v>157</v>
      </c>
      <c r="B122" s="220"/>
      <c r="C122" s="10" t="s">
        <v>1</v>
      </c>
      <c r="D122" s="51">
        <f>IF(D116=0,0,D121/D116)</f>
        <v>0</v>
      </c>
      <c r="E122" s="51">
        <f>IF(E116=0,0,E121/E116)</f>
        <v>0</v>
      </c>
      <c r="F122" s="51"/>
      <c r="G122" s="51"/>
      <c r="H122" s="51"/>
      <c r="I122" s="51">
        <f>IF(I116=0,0,I121/I116)</f>
        <v>0</v>
      </c>
      <c r="J122" s="51">
        <f>IF(J116=0,0,J121/J116)</f>
        <v>0</v>
      </c>
      <c r="K122" s="51">
        <f t="shared" si="221"/>
        <v>0</v>
      </c>
      <c r="L122" s="51" t="s">
        <v>250</v>
      </c>
      <c r="M122" s="17">
        <f>IF(M116=0,0,M121/M116)</f>
        <v>0</v>
      </c>
      <c r="N122" s="51">
        <f>IF(N116=0,0,N121/N116)</f>
        <v>0</v>
      </c>
      <c r="O122" s="51"/>
      <c r="P122" s="51"/>
      <c r="Q122" s="51"/>
      <c r="R122" s="51">
        <f>IF(R116=0,0,R121/R116)</f>
        <v>0</v>
      </c>
      <c r="S122" s="51">
        <f>IF(S116=0,0,S121/S116)</f>
        <v>0</v>
      </c>
      <c r="T122" s="51">
        <f t="shared" si="257"/>
        <v>0</v>
      </c>
      <c r="U122" s="51" t="s">
        <v>250</v>
      </c>
      <c r="V122" s="51">
        <f>IF(V116=0,0,V121/V116)</f>
        <v>0</v>
      </c>
      <c r="W122" s="51">
        <f>IF(W116=0,0,W121/W116)</f>
        <v>0</v>
      </c>
      <c r="X122" s="51"/>
      <c r="Y122" s="51"/>
      <c r="Z122" s="51"/>
      <c r="AA122" s="51">
        <f>IF(AA116=0,0,AA121/AA116)</f>
        <v>0</v>
      </c>
      <c r="AB122" s="51">
        <f>IF(AB116=0,0,AB121/AB116)</f>
        <v>0</v>
      </c>
      <c r="AC122" s="51">
        <f t="shared" si="258"/>
        <v>0</v>
      </c>
      <c r="AD122" s="51" t="s">
        <v>250</v>
      </c>
      <c r="AE122" s="51">
        <f>IF(AE116=0,0,AE121/AE116)</f>
        <v>0</v>
      </c>
      <c r="AF122" s="51">
        <f>IF(AF116=0,0,AF121/AF116)</f>
        <v>0</v>
      </c>
      <c r="AG122" s="51"/>
      <c r="AH122" s="51"/>
      <c r="AI122" s="51"/>
      <c r="AJ122" s="51">
        <f>IF(AJ116=0,0,AJ121/AJ116)</f>
        <v>0</v>
      </c>
      <c r="AK122" s="51">
        <f>IF(AK116=0,0,AK121/AK116)</f>
        <v>0</v>
      </c>
      <c r="AL122" s="51">
        <f t="shared" si="259"/>
        <v>0</v>
      </c>
      <c r="AM122" s="51" t="s">
        <v>250</v>
      </c>
      <c r="AN122" s="51">
        <f>IF(AN116=0,0,AN121/AN116)</f>
        <v>0</v>
      </c>
      <c r="AO122" s="51">
        <f>IF(AO116=0,0,AO121/AO116)</f>
        <v>0</v>
      </c>
      <c r="AP122" s="51"/>
      <c r="AQ122" s="51"/>
      <c r="AR122" s="51"/>
      <c r="AS122" s="51">
        <f>IF(AS116=0,0,AS121/AS116)</f>
        <v>0</v>
      </c>
      <c r="AT122" s="51">
        <f>IF(AT116=0,0,AT121/AT116)</f>
        <v>0</v>
      </c>
      <c r="AU122" s="51">
        <f t="shared" si="260"/>
        <v>0</v>
      </c>
      <c r="AV122" s="51" t="s">
        <v>250</v>
      </c>
      <c r="AW122" s="51">
        <f>IF(AW116=0,0,AW121/AW116)</f>
        <v>0</v>
      </c>
      <c r="AX122" s="51">
        <f>IF(AX116=0,0,AX121/AX116)</f>
        <v>0</v>
      </c>
      <c r="AY122" s="51"/>
      <c r="AZ122" s="51"/>
      <c r="BA122" s="51">
        <f>IF(BA116=0,0,BA121/BA116)</f>
        <v>0</v>
      </c>
      <c r="BB122" s="51">
        <f>IF(BB116=0,0,BB121/BB116)</f>
        <v>0</v>
      </c>
      <c r="BC122" s="51">
        <f t="shared" si="261"/>
        <v>0</v>
      </c>
      <c r="BD122" s="51" t="s">
        <v>250</v>
      </c>
      <c r="BE122" s="51">
        <f>IF(BE116=0,0,BE121/BE116)</f>
        <v>0</v>
      </c>
      <c r="BF122" s="51"/>
      <c r="BG122" s="51">
        <f>IF(BG116=0,0,BG121/BG116)</f>
        <v>0</v>
      </c>
      <c r="BH122" s="51"/>
      <c r="BI122" s="51">
        <f>IF(BI116=0,0,BI121/BI116)</f>
        <v>0</v>
      </c>
      <c r="BJ122" s="51">
        <f>IF(BJ116=0,0,BJ121/BJ116)</f>
        <v>0</v>
      </c>
      <c r="BK122" s="51">
        <f t="shared" si="262"/>
        <v>0</v>
      </c>
      <c r="BL122" s="51" t="s">
        <v>250</v>
      </c>
      <c r="BM122" s="51">
        <f>IF(BM116=0,0,BM121/BM116)</f>
        <v>0</v>
      </c>
      <c r="BN122" s="51">
        <f>IF(BN116=0,0,BN121/BN116)</f>
        <v>0</v>
      </c>
      <c r="BO122" s="51"/>
      <c r="BP122" s="51"/>
      <c r="BQ122" s="51">
        <f>IF(BQ116=0,0,BQ121/BQ116)</f>
        <v>0</v>
      </c>
      <c r="BR122" s="51">
        <f>IF(BR116=0,0,BR121/BR116)</f>
        <v>0</v>
      </c>
      <c r="BS122" s="51">
        <f t="shared" si="263"/>
        <v>0</v>
      </c>
      <c r="BT122" s="51" t="s">
        <v>250</v>
      </c>
      <c r="BU122" s="51">
        <f>IF(BU116=0,0,BU121/BU116)</f>
        <v>0</v>
      </c>
      <c r="BV122" s="51">
        <f>IF(BV116=0,0,BV121/BV116)</f>
        <v>0</v>
      </c>
      <c r="BW122" s="51"/>
      <c r="BX122" s="51"/>
      <c r="BY122" s="51">
        <f>IF(BY116=0,0,BY121/BY116)</f>
        <v>0</v>
      </c>
      <c r="BZ122" s="51">
        <f>IF(BZ116=0,0,BZ121/BZ116)</f>
        <v>0</v>
      </c>
      <c r="CA122" s="51">
        <f t="shared" si="264"/>
        <v>0</v>
      </c>
      <c r="CB122" s="51" t="s">
        <v>250</v>
      </c>
      <c r="CC122" s="51">
        <f>IF(CC116=0,0,CC121/CC116)</f>
        <v>0</v>
      </c>
      <c r="CD122" s="51">
        <f>IF(CD116=0,0,CD121/CD116)</f>
        <v>0</v>
      </c>
      <c r="CE122" s="51"/>
      <c r="CF122" s="51"/>
      <c r="CG122" s="51">
        <f>IF(CG116=0,0,CG121/CG116)</f>
        <v>0</v>
      </c>
      <c r="CH122" s="152">
        <f>IF(CH116=0,0,CH121/CH116)</f>
        <v>0</v>
      </c>
      <c r="CI122" s="51">
        <f t="shared" si="265"/>
        <v>0</v>
      </c>
      <c r="CJ122" s="51" t="s">
        <v>250</v>
      </c>
      <c r="CK122" s="51">
        <f>IF(CK116=0,0,CK121/CK116)</f>
        <v>0</v>
      </c>
      <c r="CL122" s="51">
        <f>IF(CL116=0,0,CL121/CL116)</f>
        <v>0</v>
      </c>
      <c r="CM122" s="51"/>
      <c r="CN122" s="51"/>
      <c r="CO122" s="51">
        <f>IF(CO116=0,0,CO121/CO116)</f>
        <v>0</v>
      </c>
      <c r="CP122" s="51">
        <f>IF(CP116=0,0,CP121/CP116)</f>
        <v>0</v>
      </c>
      <c r="CQ122" s="51">
        <f t="shared" si="266"/>
        <v>0</v>
      </c>
      <c r="CR122" s="51" t="s">
        <v>250</v>
      </c>
      <c r="CS122" s="51">
        <f>IF(CS116=0,0,CS121/CS116)</f>
        <v>0</v>
      </c>
      <c r="CT122" s="51">
        <f>IF(CT116=0,0,CT121/CT116)</f>
        <v>0</v>
      </c>
      <c r="CU122" s="51"/>
      <c r="CV122" s="51"/>
      <c r="CW122" s="51">
        <f>IF(CW116=0,0,CW121/CW116)</f>
        <v>0</v>
      </c>
      <c r="CX122" s="51">
        <f>IF(CX116=0,0,CX121/CX116)</f>
        <v>0</v>
      </c>
      <c r="CY122" s="51">
        <f t="shared" si="267"/>
        <v>0</v>
      </c>
      <c r="CZ122" s="51" t="s">
        <v>250</v>
      </c>
      <c r="DA122" s="51" t="e">
        <f>IF(DA116=0,0,DA121/DA116)</f>
        <v>#REF!</v>
      </c>
      <c r="DB122" s="85">
        <f>IF(DB116=0,0,DB121/DB116)</f>
        <v>0</v>
      </c>
      <c r="DC122" s="51" t="e">
        <f>IF(DC116=0,0,DC121/DC116)</f>
        <v>#REF!</v>
      </c>
      <c r="DD122" s="51" t="e">
        <f t="shared" si="268"/>
        <v>#REF!</v>
      </c>
      <c r="DE122" s="86" t="s">
        <v>250</v>
      </c>
    </row>
    <row r="123" spans="1:109" ht="15.75" hidden="1">
      <c r="A123" s="98" t="s">
        <v>158</v>
      </c>
      <c r="B123" s="35" t="s">
        <v>42</v>
      </c>
      <c r="C123" s="10" t="s">
        <v>4</v>
      </c>
      <c r="D123" s="52">
        <f>D124+D125+D126</f>
        <v>0</v>
      </c>
      <c r="E123" s="52">
        <f>E124+E125+E126</f>
        <v>0</v>
      </c>
      <c r="F123" s="52"/>
      <c r="G123" s="52"/>
      <c r="H123" s="52"/>
      <c r="I123" s="52">
        <f>I124+I125+I126</f>
        <v>0</v>
      </c>
      <c r="J123" s="52">
        <f>J124+J125+J126</f>
        <v>0</v>
      </c>
      <c r="K123" s="52">
        <f t="shared" si="221"/>
        <v>0</v>
      </c>
      <c r="L123" s="109">
        <f t="shared" si="256"/>
        <v>0</v>
      </c>
      <c r="M123" s="54">
        <f>M124+M125+M126</f>
        <v>0</v>
      </c>
      <c r="N123" s="52">
        <f>N124+N125+N126</f>
        <v>0</v>
      </c>
      <c r="O123" s="52"/>
      <c r="P123" s="52"/>
      <c r="Q123" s="52"/>
      <c r="R123" s="52">
        <f>R124+R125+R126</f>
        <v>0</v>
      </c>
      <c r="S123" s="52">
        <f>S124+S125+S126</f>
        <v>0</v>
      </c>
      <c r="T123" s="52">
        <f t="shared" si="257"/>
        <v>0</v>
      </c>
      <c r="U123" s="109">
        <f>IF(R123=0,0,T123/R123)</f>
        <v>0</v>
      </c>
      <c r="V123" s="52">
        <f>V124+V125+V126</f>
        <v>0</v>
      </c>
      <c r="W123" s="52">
        <f>W124+W125+W126</f>
        <v>0</v>
      </c>
      <c r="X123" s="52"/>
      <c r="Y123" s="52"/>
      <c r="Z123" s="52"/>
      <c r="AA123" s="52">
        <f>AA124+AA125+AA126</f>
        <v>0</v>
      </c>
      <c r="AB123" s="52">
        <f>AB124+AB125+AB126</f>
        <v>0</v>
      </c>
      <c r="AC123" s="52">
        <f t="shared" si="258"/>
        <v>0</v>
      </c>
      <c r="AD123" s="109">
        <f>IF(AA123=0,0,AC123/AA123)</f>
        <v>0</v>
      </c>
      <c r="AE123" s="52">
        <f>AE124+AE125+AE126</f>
        <v>0</v>
      </c>
      <c r="AF123" s="52">
        <f>AF124+AF125+AF126</f>
        <v>0</v>
      </c>
      <c r="AG123" s="52"/>
      <c r="AH123" s="52"/>
      <c r="AI123" s="52"/>
      <c r="AJ123" s="52">
        <f>AJ124+AJ125+AJ126</f>
        <v>0</v>
      </c>
      <c r="AK123" s="52">
        <f>AK124+AK125+AK126</f>
        <v>0</v>
      </c>
      <c r="AL123" s="52">
        <f t="shared" si="259"/>
        <v>0</v>
      </c>
      <c r="AM123" s="109">
        <f>IF(AJ123=0,0,AL123/AJ123)</f>
        <v>0</v>
      </c>
      <c r="AN123" s="52">
        <f>AN124+AN125+AN126</f>
        <v>0</v>
      </c>
      <c r="AO123" s="52">
        <f>AO124+AO125+AO126</f>
        <v>0</v>
      </c>
      <c r="AP123" s="52"/>
      <c r="AQ123" s="52"/>
      <c r="AR123" s="52"/>
      <c r="AS123" s="52">
        <f>AS124+AS125+AS126</f>
        <v>0</v>
      </c>
      <c r="AT123" s="52">
        <f>AT124+AT125+AT126</f>
        <v>0</v>
      </c>
      <c r="AU123" s="52">
        <f t="shared" si="260"/>
        <v>0</v>
      </c>
      <c r="AV123" s="109">
        <f>IF(AS123=0,0,AU123/AS123)</f>
        <v>0</v>
      </c>
      <c r="AW123" s="52">
        <f>AW124+AW125+AW126</f>
        <v>0</v>
      </c>
      <c r="AX123" s="52">
        <f>AX124+AX125+AX126</f>
        <v>0</v>
      </c>
      <c r="AY123" s="52"/>
      <c r="AZ123" s="52"/>
      <c r="BA123" s="52">
        <f>BA124+BA125+BA126</f>
        <v>0</v>
      </c>
      <c r="BB123" s="52">
        <f>BB124+BB125+BB126</f>
        <v>0</v>
      </c>
      <c r="BC123" s="52">
        <f t="shared" si="261"/>
        <v>0</v>
      </c>
      <c r="BD123" s="109">
        <f>IF(BA123=0,0,BC123/BA123)</f>
        <v>0</v>
      </c>
      <c r="BE123" s="52">
        <f>BE124+BE125+BE126</f>
        <v>0</v>
      </c>
      <c r="BF123" s="52"/>
      <c r="BG123" s="52">
        <f>BG124+BG125+BG126</f>
        <v>0</v>
      </c>
      <c r="BH123" s="52"/>
      <c r="BI123" s="52">
        <f>BI124+BI125+BI126</f>
        <v>0</v>
      </c>
      <c r="BJ123" s="52">
        <f>BJ124+BJ125+BJ126</f>
        <v>0</v>
      </c>
      <c r="BK123" s="52">
        <f t="shared" si="262"/>
        <v>0</v>
      </c>
      <c r="BL123" s="109">
        <f>IF(BI123=0,0,BK123/BI123)</f>
        <v>0</v>
      </c>
      <c r="BM123" s="52">
        <f>BM124+BM125+BM126</f>
        <v>0</v>
      </c>
      <c r="BN123" s="52">
        <f>BN124+BN125+BN126</f>
        <v>0</v>
      </c>
      <c r="BO123" s="52"/>
      <c r="BP123" s="52"/>
      <c r="BQ123" s="52">
        <f>BQ124+BQ125+BQ126</f>
        <v>0</v>
      </c>
      <c r="BR123" s="52">
        <f>BR124+BR125+BR126</f>
        <v>0</v>
      </c>
      <c r="BS123" s="52">
        <f t="shared" si="263"/>
        <v>0</v>
      </c>
      <c r="BT123" s="109">
        <f>IF(BQ123=0,0,BS123/BQ123)</f>
        <v>0</v>
      </c>
      <c r="BU123" s="52">
        <f>BU124+BU125+BU126</f>
        <v>0</v>
      </c>
      <c r="BV123" s="52">
        <f>BV124+BV125+BV126</f>
        <v>0</v>
      </c>
      <c r="BW123" s="52"/>
      <c r="BX123" s="52"/>
      <c r="BY123" s="52">
        <f>BY124+BY125+BY126</f>
        <v>0</v>
      </c>
      <c r="BZ123" s="52">
        <f>BZ124+BZ125+BZ126</f>
        <v>0</v>
      </c>
      <c r="CA123" s="52">
        <f t="shared" si="264"/>
        <v>0</v>
      </c>
      <c r="CB123" s="109">
        <f>IF(BY123=0,0,CA123/BY123)</f>
        <v>0</v>
      </c>
      <c r="CC123" s="52">
        <f>CC124+CC125+CC126</f>
        <v>0</v>
      </c>
      <c r="CD123" s="52">
        <f>CD124+CD125+CD126</f>
        <v>0</v>
      </c>
      <c r="CE123" s="52"/>
      <c r="CF123" s="52"/>
      <c r="CG123" s="52">
        <f>CG124+CG125+CG126</f>
        <v>0</v>
      </c>
      <c r="CH123" s="152">
        <f>CH124+CH125+CH126</f>
        <v>0</v>
      </c>
      <c r="CI123" s="52">
        <f t="shared" si="265"/>
        <v>0</v>
      </c>
      <c r="CJ123" s="109">
        <f>IF(CG123=0,0,CI123/CG123)</f>
        <v>0</v>
      </c>
      <c r="CK123" s="52">
        <f>CK124+CK125+CK126</f>
        <v>0</v>
      </c>
      <c r="CL123" s="52">
        <f>CL124+CL125+CL126</f>
        <v>0</v>
      </c>
      <c r="CM123" s="52"/>
      <c r="CN123" s="52"/>
      <c r="CO123" s="52">
        <f>CO124+CO125+CO126</f>
        <v>0</v>
      </c>
      <c r="CP123" s="52">
        <f>CP124+CP125+CP126</f>
        <v>0</v>
      </c>
      <c r="CQ123" s="52">
        <f t="shared" si="266"/>
        <v>0</v>
      </c>
      <c r="CR123" s="109">
        <f>IF(CO123=0,0,CQ123/CO123)</f>
        <v>0</v>
      </c>
      <c r="CS123" s="52">
        <f>CS124+CS125+CS126</f>
        <v>0</v>
      </c>
      <c r="CT123" s="52">
        <f>CT124+CT125+CT126</f>
        <v>0</v>
      </c>
      <c r="CU123" s="52"/>
      <c r="CV123" s="52"/>
      <c r="CW123" s="52">
        <f>CW124+CW125+CW126</f>
        <v>0</v>
      </c>
      <c r="CX123" s="52">
        <f>CX124+CX125+CX126</f>
        <v>0</v>
      </c>
      <c r="CY123" s="52">
        <f t="shared" si="267"/>
        <v>0</v>
      </c>
      <c r="CZ123" s="109">
        <f>IF(CW123=0,0,CY123/CW123)</f>
        <v>0</v>
      </c>
      <c r="DA123" s="52" t="e">
        <f>DA124+DA125+DA126</f>
        <v>#REF!</v>
      </c>
      <c r="DB123" s="84">
        <f>DB124+DB125+DB126</f>
        <v>0</v>
      </c>
      <c r="DC123" s="52" t="e">
        <f>DC124+DC125+DC126</f>
        <v>#REF!</v>
      </c>
      <c r="DD123" s="52" t="e">
        <f t="shared" si="268"/>
        <v>#REF!</v>
      </c>
      <c r="DE123" s="113">
        <f>IF(DB123=0,0,DD123/DB123)</f>
        <v>0</v>
      </c>
    </row>
    <row r="124" spans="1:109" ht="15.75" hidden="1">
      <c r="A124" s="98" t="s">
        <v>159</v>
      </c>
      <c r="B124" s="35" t="s">
        <v>160</v>
      </c>
      <c r="C124" s="10" t="s">
        <v>4</v>
      </c>
      <c r="D124" s="52">
        <f aca="true" t="shared" si="281" ref="D124:E126">D92+D108</f>
        <v>0</v>
      </c>
      <c r="E124" s="52">
        <f t="shared" si="281"/>
        <v>0</v>
      </c>
      <c r="F124" s="52"/>
      <c r="G124" s="52"/>
      <c r="H124" s="52"/>
      <c r="I124" s="52">
        <f aca="true" t="shared" si="282" ref="I124:J126">I92+I108</f>
        <v>0</v>
      </c>
      <c r="J124" s="52">
        <f t="shared" si="282"/>
        <v>0</v>
      </c>
      <c r="K124" s="52">
        <f t="shared" si="221"/>
        <v>0</v>
      </c>
      <c r="L124" s="109">
        <f t="shared" si="256"/>
        <v>0</v>
      </c>
      <c r="M124" s="17">
        <f aca="true" t="shared" si="283" ref="M124:S126">M92+M108</f>
        <v>0</v>
      </c>
      <c r="N124" s="52">
        <f t="shared" si="283"/>
        <v>0</v>
      </c>
      <c r="O124" s="52"/>
      <c r="P124" s="52"/>
      <c r="Q124" s="52"/>
      <c r="R124" s="52">
        <f t="shared" si="283"/>
        <v>0</v>
      </c>
      <c r="S124" s="52">
        <f t="shared" si="283"/>
        <v>0</v>
      </c>
      <c r="T124" s="52">
        <f t="shared" si="257"/>
        <v>0</v>
      </c>
      <c r="U124" s="109">
        <f>IF(R124=0,0,T124/R124)</f>
        <v>0</v>
      </c>
      <c r="V124" s="52">
        <f aca="true" t="shared" si="284" ref="V124:AB126">V92+V108</f>
        <v>0</v>
      </c>
      <c r="W124" s="52">
        <f t="shared" si="284"/>
        <v>0</v>
      </c>
      <c r="X124" s="52"/>
      <c r="Y124" s="52"/>
      <c r="Z124" s="52"/>
      <c r="AA124" s="52">
        <f t="shared" si="284"/>
        <v>0</v>
      </c>
      <c r="AB124" s="52">
        <f t="shared" si="284"/>
        <v>0</v>
      </c>
      <c r="AC124" s="52">
        <f t="shared" si="258"/>
        <v>0</v>
      </c>
      <c r="AD124" s="109">
        <f>IF(AA124=0,0,AC124/AA124)</f>
        <v>0</v>
      </c>
      <c r="AE124" s="52">
        <f aca="true" t="shared" si="285" ref="AE124:AK126">AE92+AE108</f>
        <v>0</v>
      </c>
      <c r="AF124" s="52">
        <f t="shared" si="285"/>
        <v>0</v>
      </c>
      <c r="AG124" s="52"/>
      <c r="AH124" s="52"/>
      <c r="AI124" s="52"/>
      <c r="AJ124" s="52">
        <f t="shared" si="285"/>
        <v>0</v>
      </c>
      <c r="AK124" s="52">
        <f t="shared" si="285"/>
        <v>0</v>
      </c>
      <c r="AL124" s="52">
        <f t="shared" si="259"/>
        <v>0</v>
      </c>
      <c r="AM124" s="109">
        <f>IF(AJ124=0,0,AL124/AJ124)</f>
        <v>0</v>
      </c>
      <c r="AN124" s="52">
        <f aca="true" t="shared" si="286" ref="AN124:AT126">AN92+AN108</f>
        <v>0</v>
      </c>
      <c r="AO124" s="52">
        <f t="shared" si="286"/>
        <v>0</v>
      </c>
      <c r="AP124" s="52"/>
      <c r="AQ124" s="52"/>
      <c r="AR124" s="52"/>
      <c r="AS124" s="52">
        <f t="shared" si="286"/>
        <v>0</v>
      </c>
      <c r="AT124" s="52">
        <f t="shared" si="286"/>
        <v>0</v>
      </c>
      <c r="AU124" s="52">
        <f t="shared" si="260"/>
        <v>0</v>
      </c>
      <c r="AV124" s="109">
        <f>IF(AS124=0,0,AU124/AS124)</f>
        <v>0</v>
      </c>
      <c r="AW124" s="52">
        <f aca="true" t="shared" si="287" ref="AW124:BB126">AW92+AW108</f>
        <v>0</v>
      </c>
      <c r="AX124" s="52">
        <f t="shared" si="287"/>
        <v>0</v>
      </c>
      <c r="AY124" s="52"/>
      <c r="AZ124" s="52"/>
      <c r="BA124" s="52">
        <f t="shared" si="287"/>
        <v>0</v>
      </c>
      <c r="BB124" s="52">
        <f t="shared" si="287"/>
        <v>0</v>
      </c>
      <c r="BC124" s="52">
        <f t="shared" si="261"/>
        <v>0</v>
      </c>
      <c r="BD124" s="109">
        <f>IF(BA124=0,0,BC124/BA124)</f>
        <v>0</v>
      </c>
      <c r="BE124" s="52">
        <f aca="true" t="shared" si="288" ref="BE124:BJ126">BE92+BE108</f>
        <v>0</v>
      </c>
      <c r="BF124" s="52"/>
      <c r="BG124" s="52">
        <f>BG92+BG108</f>
        <v>0</v>
      </c>
      <c r="BH124" s="52"/>
      <c r="BI124" s="52">
        <f t="shared" si="288"/>
        <v>0</v>
      </c>
      <c r="BJ124" s="52">
        <f t="shared" si="288"/>
        <v>0</v>
      </c>
      <c r="BK124" s="52">
        <f t="shared" si="262"/>
        <v>0</v>
      </c>
      <c r="BL124" s="109">
        <f>IF(BI124=0,0,BK124/BI124)</f>
        <v>0</v>
      </c>
      <c r="BM124" s="52">
        <f aca="true" t="shared" si="289" ref="BM124:BR126">BM92+BM108</f>
        <v>0</v>
      </c>
      <c r="BN124" s="52">
        <f t="shared" si="289"/>
        <v>0</v>
      </c>
      <c r="BO124" s="52"/>
      <c r="BP124" s="52"/>
      <c r="BQ124" s="52">
        <f t="shared" si="289"/>
        <v>0</v>
      </c>
      <c r="BR124" s="52">
        <f t="shared" si="289"/>
        <v>0</v>
      </c>
      <c r="BS124" s="52">
        <f t="shared" si="263"/>
        <v>0</v>
      </c>
      <c r="BT124" s="109">
        <f>IF(BQ124=0,0,BS124/BQ124)</f>
        <v>0</v>
      </c>
      <c r="BU124" s="52">
        <f aca="true" t="shared" si="290" ref="BU124:BZ126">BU92+BU108</f>
        <v>0</v>
      </c>
      <c r="BV124" s="52">
        <f t="shared" si="290"/>
        <v>0</v>
      </c>
      <c r="BW124" s="52"/>
      <c r="BX124" s="52"/>
      <c r="BY124" s="52">
        <f t="shared" si="290"/>
        <v>0</v>
      </c>
      <c r="BZ124" s="52">
        <f t="shared" si="290"/>
        <v>0</v>
      </c>
      <c r="CA124" s="52">
        <f t="shared" si="264"/>
        <v>0</v>
      </c>
      <c r="CB124" s="109">
        <f>IF(BY124=0,0,CA124/BY124)</f>
        <v>0</v>
      </c>
      <c r="CC124" s="52">
        <f aca="true" t="shared" si="291" ref="CC124:CH126">CC92+CC108</f>
        <v>0</v>
      </c>
      <c r="CD124" s="52">
        <f t="shared" si="291"/>
        <v>0</v>
      </c>
      <c r="CE124" s="52"/>
      <c r="CF124" s="52"/>
      <c r="CG124" s="52">
        <f t="shared" si="291"/>
        <v>0</v>
      </c>
      <c r="CH124" s="152">
        <f t="shared" si="291"/>
        <v>0</v>
      </c>
      <c r="CI124" s="52">
        <f t="shared" si="265"/>
        <v>0</v>
      </c>
      <c r="CJ124" s="109">
        <f>IF(CG124=0,0,CI124/CG124)</f>
        <v>0</v>
      </c>
      <c r="CK124" s="52">
        <f aca="true" t="shared" si="292" ref="CK124:CP126">CK92+CK108</f>
        <v>0</v>
      </c>
      <c r="CL124" s="52">
        <f t="shared" si="292"/>
        <v>0</v>
      </c>
      <c r="CM124" s="52"/>
      <c r="CN124" s="52"/>
      <c r="CO124" s="52">
        <f t="shared" si="292"/>
        <v>0</v>
      </c>
      <c r="CP124" s="52">
        <f t="shared" si="292"/>
        <v>0</v>
      </c>
      <c r="CQ124" s="52">
        <f t="shared" si="266"/>
        <v>0</v>
      </c>
      <c r="CR124" s="109">
        <f>IF(CO124=0,0,CQ124/CO124)</f>
        <v>0</v>
      </c>
      <c r="CS124" s="52">
        <f aca="true" t="shared" si="293" ref="CS124:CX126">CS92+CS108</f>
        <v>0</v>
      </c>
      <c r="CT124" s="52">
        <f t="shared" si="293"/>
        <v>0</v>
      </c>
      <c r="CU124" s="52"/>
      <c r="CV124" s="52"/>
      <c r="CW124" s="52">
        <f t="shared" si="293"/>
        <v>0</v>
      </c>
      <c r="CX124" s="52">
        <f t="shared" si="293"/>
        <v>0</v>
      </c>
      <c r="CY124" s="52">
        <f t="shared" si="267"/>
        <v>0</v>
      </c>
      <c r="CZ124" s="109">
        <f>IF(CW124=0,0,CY124/CW124)</f>
        <v>0</v>
      </c>
      <c r="DA124" s="52" t="e">
        <f>DA92+DA108</f>
        <v>#REF!</v>
      </c>
      <c r="DB124" s="84">
        <f aca="true" t="shared" si="294" ref="DB124:DC126">DB92+DB108</f>
        <v>0</v>
      </c>
      <c r="DC124" s="52" t="e">
        <f t="shared" si="294"/>
        <v>#REF!</v>
      </c>
      <c r="DD124" s="52" t="e">
        <f t="shared" si="268"/>
        <v>#REF!</v>
      </c>
      <c r="DE124" s="113">
        <f>IF(DB124=0,0,DD124/DB124)</f>
        <v>0</v>
      </c>
    </row>
    <row r="125" spans="1:109" ht="15.75" hidden="1">
      <c r="A125" s="98" t="s">
        <v>161</v>
      </c>
      <c r="B125" s="35" t="s">
        <v>162</v>
      </c>
      <c r="C125" s="10" t="s">
        <v>4</v>
      </c>
      <c r="D125" s="52">
        <f t="shared" si="281"/>
        <v>0</v>
      </c>
      <c r="E125" s="52">
        <f t="shared" si="281"/>
        <v>0</v>
      </c>
      <c r="F125" s="52"/>
      <c r="G125" s="52"/>
      <c r="H125" s="52"/>
      <c r="I125" s="52">
        <f t="shared" si="282"/>
        <v>0</v>
      </c>
      <c r="J125" s="52">
        <f t="shared" si="282"/>
        <v>0</v>
      </c>
      <c r="K125" s="52">
        <f t="shared" si="221"/>
        <v>0</v>
      </c>
      <c r="L125" s="109">
        <f t="shared" si="256"/>
        <v>0</v>
      </c>
      <c r="M125" s="17">
        <f t="shared" si="283"/>
        <v>0</v>
      </c>
      <c r="N125" s="52">
        <f t="shared" si="283"/>
        <v>0</v>
      </c>
      <c r="O125" s="52"/>
      <c r="P125" s="52"/>
      <c r="Q125" s="52"/>
      <c r="R125" s="52">
        <f t="shared" si="283"/>
        <v>0</v>
      </c>
      <c r="S125" s="52">
        <f t="shared" si="283"/>
        <v>0</v>
      </c>
      <c r="T125" s="52">
        <f t="shared" si="257"/>
        <v>0</v>
      </c>
      <c r="U125" s="109">
        <f>IF(R125=0,0,T125/R125)</f>
        <v>0</v>
      </c>
      <c r="V125" s="52">
        <f t="shared" si="284"/>
        <v>0</v>
      </c>
      <c r="W125" s="52">
        <f t="shared" si="284"/>
        <v>0</v>
      </c>
      <c r="X125" s="52"/>
      <c r="Y125" s="52"/>
      <c r="Z125" s="52"/>
      <c r="AA125" s="52">
        <f t="shared" si="284"/>
        <v>0</v>
      </c>
      <c r="AB125" s="52">
        <f t="shared" si="284"/>
        <v>0</v>
      </c>
      <c r="AC125" s="52">
        <f t="shared" si="258"/>
        <v>0</v>
      </c>
      <c r="AD125" s="109">
        <f>IF(AA125=0,0,AC125/AA125)</f>
        <v>0</v>
      </c>
      <c r="AE125" s="52">
        <f t="shared" si="285"/>
        <v>0</v>
      </c>
      <c r="AF125" s="52">
        <f t="shared" si="285"/>
        <v>0</v>
      </c>
      <c r="AG125" s="52"/>
      <c r="AH125" s="52"/>
      <c r="AI125" s="52"/>
      <c r="AJ125" s="52">
        <f t="shared" si="285"/>
        <v>0</v>
      </c>
      <c r="AK125" s="52">
        <f t="shared" si="285"/>
        <v>0</v>
      </c>
      <c r="AL125" s="52">
        <f t="shared" si="259"/>
        <v>0</v>
      </c>
      <c r="AM125" s="109">
        <f>IF(AJ125=0,0,AL125/AJ125)</f>
        <v>0</v>
      </c>
      <c r="AN125" s="52">
        <f t="shared" si="286"/>
        <v>0</v>
      </c>
      <c r="AO125" s="52">
        <f t="shared" si="286"/>
        <v>0</v>
      </c>
      <c r="AP125" s="52"/>
      <c r="AQ125" s="52"/>
      <c r="AR125" s="52"/>
      <c r="AS125" s="52">
        <f t="shared" si="286"/>
        <v>0</v>
      </c>
      <c r="AT125" s="52">
        <f t="shared" si="286"/>
        <v>0</v>
      </c>
      <c r="AU125" s="52">
        <f t="shared" si="260"/>
        <v>0</v>
      </c>
      <c r="AV125" s="109">
        <f>IF(AS125=0,0,AU125/AS125)</f>
        <v>0</v>
      </c>
      <c r="AW125" s="52">
        <f t="shared" si="287"/>
        <v>0</v>
      </c>
      <c r="AX125" s="52">
        <f t="shared" si="287"/>
        <v>0</v>
      </c>
      <c r="AY125" s="52"/>
      <c r="AZ125" s="52"/>
      <c r="BA125" s="52">
        <f t="shared" si="287"/>
        <v>0</v>
      </c>
      <c r="BB125" s="52">
        <f t="shared" si="287"/>
        <v>0</v>
      </c>
      <c r="BC125" s="52">
        <f t="shared" si="261"/>
        <v>0</v>
      </c>
      <c r="BD125" s="109">
        <f>IF(BA125=0,0,BC125/BA125)</f>
        <v>0</v>
      </c>
      <c r="BE125" s="52">
        <f t="shared" si="288"/>
        <v>0</v>
      </c>
      <c r="BF125" s="52"/>
      <c r="BG125" s="52">
        <f>BG93+BG109</f>
        <v>0</v>
      </c>
      <c r="BH125" s="52"/>
      <c r="BI125" s="52">
        <f t="shared" si="288"/>
        <v>0</v>
      </c>
      <c r="BJ125" s="52">
        <f t="shared" si="288"/>
        <v>0</v>
      </c>
      <c r="BK125" s="52">
        <f t="shared" si="262"/>
        <v>0</v>
      </c>
      <c r="BL125" s="109">
        <f>IF(BI125=0,0,BK125/BI125)</f>
        <v>0</v>
      </c>
      <c r="BM125" s="52">
        <f t="shared" si="289"/>
        <v>0</v>
      </c>
      <c r="BN125" s="52">
        <f t="shared" si="289"/>
        <v>0</v>
      </c>
      <c r="BO125" s="52"/>
      <c r="BP125" s="52"/>
      <c r="BQ125" s="52">
        <f t="shared" si="289"/>
        <v>0</v>
      </c>
      <c r="BR125" s="52">
        <f t="shared" si="289"/>
        <v>0</v>
      </c>
      <c r="BS125" s="52">
        <f t="shared" si="263"/>
        <v>0</v>
      </c>
      <c r="BT125" s="109">
        <f>IF(BQ125=0,0,BS125/BQ125)</f>
        <v>0</v>
      </c>
      <c r="BU125" s="52">
        <f t="shared" si="290"/>
        <v>0</v>
      </c>
      <c r="BV125" s="52">
        <f t="shared" si="290"/>
        <v>0</v>
      </c>
      <c r="BW125" s="52"/>
      <c r="BX125" s="52"/>
      <c r="BY125" s="52">
        <f t="shared" si="290"/>
        <v>0</v>
      </c>
      <c r="BZ125" s="52">
        <f t="shared" si="290"/>
        <v>0</v>
      </c>
      <c r="CA125" s="52">
        <f t="shared" si="264"/>
        <v>0</v>
      </c>
      <c r="CB125" s="109">
        <f>IF(BY125=0,0,CA125/BY125)</f>
        <v>0</v>
      </c>
      <c r="CC125" s="52">
        <f t="shared" si="291"/>
        <v>0</v>
      </c>
      <c r="CD125" s="52">
        <f t="shared" si="291"/>
        <v>0</v>
      </c>
      <c r="CE125" s="52"/>
      <c r="CF125" s="52"/>
      <c r="CG125" s="52">
        <f t="shared" si="291"/>
        <v>0</v>
      </c>
      <c r="CH125" s="152">
        <f t="shared" si="291"/>
        <v>0</v>
      </c>
      <c r="CI125" s="52">
        <f t="shared" si="265"/>
        <v>0</v>
      </c>
      <c r="CJ125" s="109">
        <f>IF(CG125=0,0,CI125/CG125)</f>
        <v>0</v>
      </c>
      <c r="CK125" s="52">
        <f t="shared" si="292"/>
        <v>0</v>
      </c>
      <c r="CL125" s="52">
        <f t="shared" si="292"/>
        <v>0</v>
      </c>
      <c r="CM125" s="52"/>
      <c r="CN125" s="52"/>
      <c r="CO125" s="52">
        <f t="shared" si="292"/>
        <v>0</v>
      </c>
      <c r="CP125" s="52">
        <f t="shared" si="292"/>
        <v>0</v>
      </c>
      <c r="CQ125" s="52">
        <f t="shared" si="266"/>
        <v>0</v>
      </c>
      <c r="CR125" s="109">
        <f>IF(CO125=0,0,CQ125/CO125)</f>
        <v>0</v>
      </c>
      <c r="CS125" s="52">
        <f t="shared" si="293"/>
        <v>0</v>
      </c>
      <c r="CT125" s="52">
        <f t="shared" si="293"/>
        <v>0</v>
      </c>
      <c r="CU125" s="52"/>
      <c r="CV125" s="52"/>
      <c r="CW125" s="52">
        <f t="shared" si="293"/>
        <v>0</v>
      </c>
      <c r="CX125" s="52">
        <f t="shared" si="293"/>
        <v>0</v>
      </c>
      <c r="CY125" s="52">
        <f t="shared" si="267"/>
        <v>0</v>
      </c>
      <c r="CZ125" s="109">
        <f>IF(CW125=0,0,CY125/CW125)</f>
        <v>0</v>
      </c>
      <c r="DA125" s="52" t="e">
        <f>DA93+DA109</f>
        <v>#REF!</v>
      </c>
      <c r="DB125" s="84">
        <f t="shared" si="294"/>
        <v>0</v>
      </c>
      <c r="DC125" s="52" t="e">
        <f t="shared" si="294"/>
        <v>#REF!</v>
      </c>
      <c r="DD125" s="52" t="e">
        <f t="shared" si="268"/>
        <v>#REF!</v>
      </c>
      <c r="DE125" s="113">
        <f>IF(DB125=0,0,DD125/DB125)</f>
        <v>0</v>
      </c>
    </row>
    <row r="126" spans="1:109" ht="15.75" hidden="1">
      <c r="A126" s="98" t="s">
        <v>163</v>
      </c>
      <c r="B126" s="35" t="s">
        <v>46</v>
      </c>
      <c r="C126" s="10" t="s">
        <v>4</v>
      </c>
      <c r="D126" s="52">
        <f t="shared" si="281"/>
        <v>0</v>
      </c>
      <c r="E126" s="52">
        <f t="shared" si="281"/>
        <v>0</v>
      </c>
      <c r="F126" s="52"/>
      <c r="G126" s="52"/>
      <c r="H126" s="52"/>
      <c r="I126" s="52">
        <f t="shared" si="282"/>
        <v>0</v>
      </c>
      <c r="J126" s="52">
        <f t="shared" si="282"/>
        <v>0</v>
      </c>
      <c r="K126" s="52">
        <f t="shared" si="221"/>
        <v>0</v>
      </c>
      <c r="L126" s="109">
        <f t="shared" si="256"/>
        <v>0</v>
      </c>
      <c r="M126" s="52">
        <f t="shared" si="283"/>
        <v>0</v>
      </c>
      <c r="N126" s="52">
        <f t="shared" si="283"/>
        <v>0</v>
      </c>
      <c r="O126" s="52"/>
      <c r="P126" s="52"/>
      <c r="Q126" s="52"/>
      <c r="R126" s="52">
        <f t="shared" si="283"/>
        <v>0</v>
      </c>
      <c r="S126" s="52">
        <f t="shared" si="283"/>
        <v>0</v>
      </c>
      <c r="T126" s="52">
        <f t="shared" si="257"/>
        <v>0</v>
      </c>
      <c r="U126" s="109">
        <f>IF(R126=0,0,T126/R126)</f>
        <v>0</v>
      </c>
      <c r="V126" s="52">
        <f t="shared" si="284"/>
        <v>0</v>
      </c>
      <c r="W126" s="52">
        <f t="shared" si="284"/>
        <v>0</v>
      </c>
      <c r="X126" s="52"/>
      <c r="Y126" s="52"/>
      <c r="Z126" s="52"/>
      <c r="AA126" s="52">
        <f t="shared" si="284"/>
        <v>0</v>
      </c>
      <c r="AB126" s="52">
        <f t="shared" si="284"/>
        <v>0</v>
      </c>
      <c r="AC126" s="52">
        <f t="shared" si="258"/>
        <v>0</v>
      </c>
      <c r="AD126" s="109">
        <f>IF(AA126=0,0,AC126/AA126)</f>
        <v>0</v>
      </c>
      <c r="AE126" s="52">
        <f t="shared" si="285"/>
        <v>0</v>
      </c>
      <c r="AF126" s="52">
        <f t="shared" si="285"/>
        <v>0</v>
      </c>
      <c r="AG126" s="52"/>
      <c r="AH126" s="52"/>
      <c r="AI126" s="52"/>
      <c r="AJ126" s="52">
        <f t="shared" si="285"/>
        <v>0</v>
      </c>
      <c r="AK126" s="52">
        <f t="shared" si="285"/>
        <v>0</v>
      </c>
      <c r="AL126" s="52">
        <f t="shared" si="259"/>
        <v>0</v>
      </c>
      <c r="AM126" s="109">
        <f>IF(AJ126=0,0,AL126/AJ126)</f>
        <v>0</v>
      </c>
      <c r="AN126" s="52">
        <f t="shared" si="286"/>
        <v>0</v>
      </c>
      <c r="AO126" s="52">
        <f t="shared" si="286"/>
        <v>0</v>
      </c>
      <c r="AP126" s="52"/>
      <c r="AQ126" s="52"/>
      <c r="AR126" s="52"/>
      <c r="AS126" s="52">
        <f t="shared" si="286"/>
        <v>0</v>
      </c>
      <c r="AT126" s="52">
        <f t="shared" si="286"/>
        <v>0</v>
      </c>
      <c r="AU126" s="52">
        <f t="shared" si="260"/>
        <v>0</v>
      </c>
      <c r="AV126" s="109">
        <f>IF(AS126=0,0,AU126/AS126)</f>
        <v>0</v>
      </c>
      <c r="AW126" s="52">
        <f t="shared" si="287"/>
        <v>0</v>
      </c>
      <c r="AX126" s="52">
        <f t="shared" si="287"/>
        <v>0</v>
      </c>
      <c r="AY126" s="52"/>
      <c r="AZ126" s="52"/>
      <c r="BA126" s="52">
        <f t="shared" si="287"/>
        <v>0</v>
      </c>
      <c r="BB126" s="52">
        <f t="shared" si="287"/>
        <v>0</v>
      </c>
      <c r="BC126" s="52">
        <f t="shared" si="261"/>
        <v>0</v>
      </c>
      <c r="BD126" s="109">
        <f>IF(BA126=0,0,BC126/BA126)</f>
        <v>0</v>
      </c>
      <c r="BE126" s="52">
        <f t="shared" si="288"/>
        <v>0</v>
      </c>
      <c r="BF126" s="52"/>
      <c r="BG126" s="52">
        <f>BG94+BG110</f>
        <v>0</v>
      </c>
      <c r="BH126" s="52"/>
      <c r="BI126" s="52">
        <f t="shared" si="288"/>
        <v>0</v>
      </c>
      <c r="BJ126" s="52">
        <f t="shared" si="288"/>
        <v>0</v>
      </c>
      <c r="BK126" s="52">
        <f t="shared" si="262"/>
        <v>0</v>
      </c>
      <c r="BL126" s="109">
        <f>IF(BI126=0,0,BK126/BI126)</f>
        <v>0</v>
      </c>
      <c r="BM126" s="52">
        <f t="shared" si="289"/>
        <v>0</v>
      </c>
      <c r="BN126" s="52">
        <f t="shared" si="289"/>
        <v>0</v>
      </c>
      <c r="BO126" s="52"/>
      <c r="BP126" s="52"/>
      <c r="BQ126" s="52">
        <f t="shared" si="289"/>
        <v>0</v>
      </c>
      <c r="BR126" s="52">
        <f t="shared" si="289"/>
        <v>0</v>
      </c>
      <c r="BS126" s="52">
        <f t="shared" si="263"/>
        <v>0</v>
      </c>
      <c r="BT126" s="109">
        <f>IF(BQ126=0,0,BS126/BQ126)</f>
        <v>0</v>
      </c>
      <c r="BU126" s="52">
        <f t="shared" si="290"/>
        <v>0</v>
      </c>
      <c r="BV126" s="52">
        <f t="shared" si="290"/>
        <v>0</v>
      </c>
      <c r="BW126" s="52"/>
      <c r="BX126" s="52"/>
      <c r="BY126" s="52">
        <f t="shared" si="290"/>
        <v>0</v>
      </c>
      <c r="BZ126" s="52">
        <f t="shared" si="290"/>
        <v>0</v>
      </c>
      <c r="CA126" s="52">
        <f t="shared" si="264"/>
        <v>0</v>
      </c>
      <c r="CB126" s="109">
        <f>IF(BY126=0,0,CA126/BY126)</f>
        <v>0</v>
      </c>
      <c r="CC126" s="52">
        <f t="shared" si="291"/>
        <v>0</v>
      </c>
      <c r="CD126" s="52">
        <f t="shared" si="291"/>
        <v>0</v>
      </c>
      <c r="CE126" s="52"/>
      <c r="CF126" s="52"/>
      <c r="CG126" s="52">
        <f t="shared" si="291"/>
        <v>0</v>
      </c>
      <c r="CH126" s="152">
        <f t="shared" si="291"/>
        <v>0</v>
      </c>
      <c r="CI126" s="52">
        <f t="shared" si="265"/>
        <v>0</v>
      </c>
      <c r="CJ126" s="109">
        <f>IF(CG126=0,0,CI126/CG126)</f>
        <v>0</v>
      </c>
      <c r="CK126" s="52">
        <f t="shared" si="292"/>
        <v>0</v>
      </c>
      <c r="CL126" s="52">
        <f t="shared" si="292"/>
        <v>0</v>
      </c>
      <c r="CM126" s="52"/>
      <c r="CN126" s="52"/>
      <c r="CO126" s="52">
        <f t="shared" si="292"/>
        <v>0</v>
      </c>
      <c r="CP126" s="52">
        <f t="shared" si="292"/>
        <v>0</v>
      </c>
      <c r="CQ126" s="52">
        <f t="shared" si="266"/>
        <v>0</v>
      </c>
      <c r="CR126" s="109">
        <f>IF(CO126=0,0,CQ126/CO126)</f>
        <v>0</v>
      </c>
      <c r="CS126" s="52">
        <f t="shared" si="293"/>
        <v>0</v>
      </c>
      <c r="CT126" s="52">
        <f t="shared" si="293"/>
        <v>0</v>
      </c>
      <c r="CU126" s="52"/>
      <c r="CV126" s="52"/>
      <c r="CW126" s="52">
        <f t="shared" si="293"/>
        <v>0</v>
      </c>
      <c r="CX126" s="52">
        <f t="shared" si="293"/>
        <v>0</v>
      </c>
      <c r="CY126" s="52">
        <f t="shared" si="267"/>
        <v>0</v>
      </c>
      <c r="CZ126" s="109">
        <f>IF(CW126=0,0,CY126/CW126)</f>
        <v>0</v>
      </c>
      <c r="DA126" s="52" t="e">
        <f>DA94+DA110</f>
        <v>#REF!</v>
      </c>
      <c r="DB126" s="84">
        <f t="shared" si="294"/>
        <v>0</v>
      </c>
      <c r="DC126" s="52" t="e">
        <f t="shared" si="294"/>
        <v>#REF!</v>
      </c>
      <c r="DD126" s="52" t="e">
        <f t="shared" si="268"/>
        <v>#REF!</v>
      </c>
      <c r="DE126" s="113">
        <f>IF(DB126=0,0,DD126/DB126)</f>
        <v>0</v>
      </c>
    </row>
    <row r="127" spans="1:109" ht="15.75" hidden="1">
      <c r="A127" s="98" t="s">
        <v>164</v>
      </c>
      <c r="B127" s="35" t="s">
        <v>165</v>
      </c>
      <c r="C127" s="10" t="s">
        <v>4</v>
      </c>
      <c r="D127" s="21"/>
      <c r="E127" s="21"/>
      <c r="F127" s="21"/>
      <c r="G127" s="21"/>
      <c r="H127" s="21"/>
      <c r="I127" s="21"/>
      <c r="J127" s="21"/>
      <c r="K127" s="52">
        <f t="shared" si="221"/>
        <v>0</v>
      </c>
      <c r="L127" s="109">
        <f t="shared" si="256"/>
        <v>0</v>
      </c>
      <c r="M127" s="17"/>
      <c r="N127" s="21"/>
      <c r="O127" s="21"/>
      <c r="P127" s="21"/>
      <c r="Q127" s="21"/>
      <c r="R127" s="21"/>
      <c r="S127" s="21"/>
      <c r="T127" s="52">
        <f t="shared" si="257"/>
        <v>0</v>
      </c>
      <c r="U127" s="109">
        <f>IF(R127=0,0,T127/R127)</f>
        <v>0</v>
      </c>
      <c r="V127" s="21"/>
      <c r="W127" s="21"/>
      <c r="X127" s="21"/>
      <c r="Y127" s="21"/>
      <c r="Z127" s="21"/>
      <c r="AA127" s="21"/>
      <c r="AB127" s="21"/>
      <c r="AC127" s="52">
        <f t="shared" si="258"/>
        <v>0</v>
      </c>
      <c r="AD127" s="109">
        <f>IF(AA127=0,0,AC127/AA127)</f>
        <v>0</v>
      </c>
      <c r="AE127" s="21"/>
      <c r="AF127" s="21"/>
      <c r="AG127" s="21"/>
      <c r="AH127" s="21"/>
      <c r="AI127" s="21"/>
      <c r="AJ127" s="21"/>
      <c r="AK127" s="21"/>
      <c r="AL127" s="52">
        <f t="shared" si="259"/>
        <v>0</v>
      </c>
      <c r="AM127" s="109">
        <f>IF(AJ127=0,0,AL127/AJ127)</f>
        <v>0</v>
      </c>
      <c r="AN127" s="21"/>
      <c r="AO127" s="21"/>
      <c r="AP127" s="21"/>
      <c r="AQ127" s="21"/>
      <c r="AR127" s="21"/>
      <c r="AS127" s="21"/>
      <c r="AT127" s="21"/>
      <c r="AU127" s="52">
        <f t="shared" si="260"/>
        <v>0</v>
      </c>
      <c r="AV127" s="109">
        <f>IF(AS127=0,0,AU127/AS127)</f>
        <v>0</v>
      </c>
      <c r="AW127" s="21"/>
      <c r="AX127" s="21"/>
      <c r="AY127" s="21"/>
      <c r="AZ127" s="21"/>
      <c r="BA127" s="21"/>
      <c r="BB127" s="21"/>
      <c r="BC127" s="52">
        <f t="shared" si="261"/>
        <v>0</v>
      </c>
      <c r="BD127" s="109">
        <f>IF(BA127=0,0,BC127/BA127)</f>
        <v>0</v>
      </c>
      <c r="BE127" s="21"/>
      <c r="BF127" s="21"/>
      <c r="BG127" s="21"/>
      <c r="BH127" s="21"/>
      <c r="BI127" s="21"/>
      <c r="BJ127" s="21"/>
      <c r="BK127" s="52">
        <f t="shared" si="262"/>
        <v>0</v>
      </c>
      <c r="BL127" s="109">
        <f>IF(BI127=0,0,BK127/BI127)</f>
        <v>0</v>
      </c>
      <c r="BM127" s="21"/>
      <c r="BN127" s="21"/>
      <c r="BO127" s="21"/>
      <c r="BP127" s="21"/>
      <c r="BQ127" s="21"/>
      <c r="BR127" s="21"/>
      <c r="BS127" s="52">
        <f t="shared" si="263"/>
        <v>0</v>
      </c>
      <c r="BT127" s="109">
        <f>IF(BQ127=0,0,BS127/BQ127)</f>
        <v>0</v>
      </c>
      <c r="BU127" s="21"/>
      <c r="BV127" s="21"/>
      <c r="BW127" s="21"/>
      <c r="BX127" s="21"/>
      <c r="BY127" s="21"/>
      <c r="BZ127" s="21"/>
      <c r="CA127" s="52">
        <f t="shared" si="264"/>
        <v>0</v>
      </c>
      <c r="CB127" s="109">
        <f>IF(BY127=0,0,CA127/BY127)</f>
        <v>0</v>
      </c>
      <c r="CC127" s="21"/>
      <c r="CD127" s="21"/>
      <c r="CE127" s="21"/>
      <c r="CF127" s="21"/>
      <c r="CG127" s="21"/>
      <c r="CH127" s="141"/>
      <c r="CI127" s="52">
        <f t="shared" si="265"/>
        <v>0</v>
      </c>
      <c r="CJ127" s="109">
        <f>IF(CG127=0,0,CI127/CG127)</f>
        <v>0</v>
      </c>
      <c r="CK127" s="21"/>
      <c r="CL127" s="21"/>
      <c r="CM127" s="21"/>
      <c r="CN127" s="21"/>
      <c r="CO127" s="21"/>
      <c r="CP127" s="21"/>
      <c r="CQ127" s="52">
        <f t="shared" si="266"/>
        <v>0</v>
      </c>
      <c r="CR127" s="109">
        <f>IF(CO127=0,0,CQ127/CO127)</f>
        <v>0</v>
      </c>
      <c r="CS127" s="21"/>
      <c r="CT127" s="21"/>
      <c r="CU127" s="21"/>
      <c r="CV127" s="21"/>
      <c r="CW127" s="21"/>
      <c r="CX127" s="21"/>
      <c r="CY127" s="52">
        <f t="shared" si="267"/>
        <v>0</v>
      </c>
      <c r="CZ127" s="109">
        <f>IF(CW127=0,0,CY127/CW127)</f>
        <v>0</v>
      </c>
      <c r="DA127" s="50" t="e">
        <f>J127+IF(#REF!&gt;=2,S127,0)+IF(#REF!&gt;=3,AB127,0)+IF(#REF!&gt;=4,AK127,0)+IF(#REF!&gt;=5,AT127,0)+IF(#REF!&gt;=6,BB127,0)+IF(#REF!&gt;=7,BJ127,0)+IF(#REF!&gt;=8,BR127,0)+IF(#REF!&gt;=9,BZ127,0)+IF(#REF!&gt;=10,CH127,0)+IF(#REF!&gt;=11,CP127,0)+IF(#REF!&gt;=12,CX127,0)</f>
        <v>#REF!</v>
      </c>
      <c r="DB127" s="84">
        <f>I127+R127+AA127+AJ127+AS127+BA127+BI127+BQ127+BY127+CG127+CO127+CW127</f>
        <v>0</v>
      </c>
      <c r="DC127" s="106" t="e">
        <f>IF(#REF!&gt;=1,J127,I127)+IF(#REF!&gt;=2,S127,R127)+IF(#REF!&gt;=3,AB127,AA127)+IF(#REF!&gt;=4,AK127,AJ127)+IF(#REF!&gt;=5,AT127,AS127)+IF(#REF!&gt;=6,BB127,BA127)+IF(#REF!&gt;=7,BJ127,BI127)+IF(#REF!&gt;=8,BR127,BQ127)+IF(#REF!&gt;=9,BZ127,BY127)+IF(#REF!&gt;=10,CH127,CG127)+IF(#REF!&gt;=11,CP127,CO127)+IF(#REF!&gt;=12,CX127,CW127)</f>
        <v>#REF!</v>
      </c>
      <c r="DD127" s="52" t="e">
        <f t="shared" si="268"/>
        <v>#REF!</v>
      </c>
      <c r="DE127" s="113">
        <f>IF(DB127=0,0,DD127/DB127)</f>
        <v>0</v>
      </c>
    </row>
    <row r="128" spans="1:109" ht="15.75" hidden="1">
      <c r="A128" s="98" t="s">
        <v>166</v>
      </c>
      <c r="B128" s="220" t="s">
        <v>61</v>
      </c>
      <c r="C128" s="10" t="s">
        <v>4</v>
      </c>
      <c r="D128" s="56">
        <f>D116-D119-D123</f>
        <v>0</v>
      </c>
      <c r="E128" s="56">
        <f>E116-E119-E123</f>
        <v>0</v>
      </c>
      <c r="F128" s="56"/>
      <c r="G128" s="56"/>
      <c r="H128" s="56"/>
      <c r="I128" s="56">
        <f>I116-I119-I123</f>
        <v>0</v>
      </c>
      <c r="J128" s="56">
        <f>J116-J119-J123</f>
        <v>0</v>
      </c>
      <c r="K128" s="56">
        <f t="shared" si="221"/>
        <v>0</v>
      </c>
      <c r="L128" s="52" t="s">
        <v>250</v>
      </c>
      <c r="M128" s="17">
        <f>M116-M119-M123</f>
        <v>0</v>
      </c>
      <c r="N128" s="56">
        <f>N116-N119-N123</f>
        <v>0</v>
      </c>
      <c r="O128" s="56"/>
      <c r="P128" s="56"/>
      <c r="Q128" s="56"/>
      <c r="R128" s="56">
        <f>R116-R119-R123</f>
        <v>0</v>
      </c>
      <c r="S128" s="56">
        <f>S116-S119-S123</f>
        <v>0</v>
      </c>
      <c r="T128" s="56">
        <f t="shared" si="257"/>
        <v>0</v>
      </c>
      <c r="U128" s="52" t="s">
        <v>250</v>
      </c>
      <c r="V128" s="56">
        <f>V116-V119-V123</f>
        <v>0</v>
      </c>
      <c r="W128" s="56">
        <f>W116-W119-W123</f>
        <v>0</v>
      </c>
      <c r="X128" s="56"/>
      <c r="Y128" s="56"/>
      <c r="Z128" s="56"/>
      <c r="AA128" s="56">
        <f>AA116-AA119-AA123</f>
        <v>0</v>
      </c>
      <c r="AB128" s="56">
        <f>AB116-AB119-AB123</f>
        <v>0</v>
      </c>
      <c r="AC128" s="56">
        <f t="shared" si="258"/>
        <v>0</v>
      </c>
      <c r="AD128" s="52" t="s">
        <v>250</v>
      </c>
      <c r="AE128" s="56">
        <f>AE116-AE119-AE123</f>
        <v>0</v>
      </c>
      <c r="AF128" s="56">
        <f>AF116-AF119-AF123</f>
        <v>0</v>
      </c>
      <c r="AG128" s="56"/>
      <c r="AH128" s="56"/>
      <c r="AI128" s="56"/>
      <c r="AJ128" s="56">
        <f>AJ116-AJ119-AJ123</f>
        <v>0</v>
      </c>
      <c r="AK128" s="56">
        <f>AK116-AK119-AK123</f>
        <v>0</v>
      </c>
      <c r="AL128" s="56">
        <f t="shared" si="259"/>
        <v>0</v>
      </c>
      <c r="AM128" s="52" t="s">
        <v>250</v>
      </c>
      <c r="AN128" s="56">
        <f>AN116-AN119-AN123</f>
        <v>0</v>
      </c>
      <c r="AO128" s="56">
        <f>AO116-AO119-AO123</f>
        <v>0</v>
      </c>
      <c r="AP128" s="56"/>
      <c r="AQ128" s="56"/>
      <c r="AR128" s="56"/>
      <c r="AS128" s="56">
        <f>AS116-AS119-AS123</f>
        <v>0</v>
      </c>
      <c r="AT128" s="56">
        <f>AT116-AT119-AT123</f>
        <v>0</v>
      </c>
      <c r="AU128" s="56">
        <f t="shared" si="260"/>
        <v>0</v>
      </c>
      <c r="AV128" s="52" t="s">
        <v>250</v>
      </c>
      <c r="AW128" s="56">
        <f>AW116-AW119-AW123</f>
        <v>0</v>
      </c>
      <c r="AX128" s="56">
        <f>AX116-AX119-AX123</f>
        <v>0</v>
      </c>
      <c r="AY128" s="56"/>
      <c r="AZ128" s="56"/>
      <c r="BA128" s="56">
        <f>BA116-BA119-BA123</f>
        <v>0</v>
      </c>
      <c r="BB128" s="56">
        <f>BB116-BB119-BB123</f>
        <v>0</v>
      </c>
      <c r="BC128" s="56">
        <f t="shared" si="261"/>
        <v>0</v>
      </c>
      <c r="BD128" s="52" t="s">
        <v>250</v>
      </c>
      <c r="BE128" s="56">
        <f>BE116-BE119-BE123</f>
        <v>0</v>
      </c>
      <c r="BF128" s="56"/>
      <c r="BG128" s="56">
        <f>BG116-BG119-BG123</f>
        <v>0</v>
      </c>
      <c r="BH128" s="56"/>
      <c r="BI128" s="56">
        <f>BI116-BI119-BI123</f>
        <v>0</v>
      </c>
      <c r="BJ128" s="56">
        <f>BJ116-BJ119-BJ123</f>
        <v>0</v>
      </c>
      <c r="BK128" s="56">
        <f t="shared" si="262"/>
        <v>0</v>
      </c>
      <c r="BL128" s="52" t="s">
        <v>250</v>
      </c>
      <c r="BM128" s="56">
        <f>BM116-BM119-BM123</f>
        <v>0</v>
      </c>
      <c r="BN128" s="56">
        <f>BN116-BN119-BN123</f>
        <v>0</v>
      </c>
      <c r="BO128" s="56"/>
      <c r="BP128" s="56"/>
      <c r="BQ128" s="56">
        <f>BQ116-BQ119-BQ123</f>
        <v>0</v>
      </c>
      <c r="BR128" s="56">
        <f>BR116-BR119-BR123</f>
        <v>0</v>
      </c>
      <c r="BS128" s="56">
        <f t="shared" si="263"/>
        <v>0</v>
      </c>
      <c r="BT128" s="52" t="s">
        <v>250</v>
      </c>
      <c r="BU128" s="56">
        <f>BU116-BU119-BU123</f>
        <v>0</v>
      </c>
      <c r="BV128" s="56">
        <f>BV116-BV119-BV123</f>
        <v>0</v>
      </c>
      <c r="BW128" s="56"/>
      <c r="BX128" s="56"/>
      <c r="BY128" s="56">
        <f>BY116-BY119-BY123</f>
        <v>0</v>
      </c>
      <c r="BZ128" s="56">
        <f>BZ116-BZ119-BZ123</f>
        <v>0</v>
      </c>
      <c r="CA128" s="56">
        <f t="shared" si="264"/>
        <v>0</v>
      </c>
      <c r="CB128" s="52" t="s">
        <v>250</v>
      </c>
      <c r="CC128" s="56">
        <f>CC116-CC119-CC123</f>
        <v>0</v>
      </c>
      <c r="CD128" s="56">
        <f>CD116-CD119-CD123</f>
        <v>0</v>
      </c>
      <c r="CE128" s="56"/>
      <c r="CF128" s="56"/>
      <c r="CG128" s="56">
        <f>CG116-CG119-CG123</f>
        <v>0</v>
      </c>
      <c r="CH128" s="181">
        <f>CH116-CH119-CH123</f>
        <v>0</v>
      </c>
      <c r="CI128" s="56">
        <f t="shared" si="265"/>
        <v>0</v>
      </c>
      <c r="CJ128" s="52" t="s">
        <v>250</v>
      </c>
      <c r="CK128" s="56">
        <f>CK116-CK119-CK123</f>
        <v>0</v>
      </c>
      <c r="CL128" s="56">
        <f>CL116-CL119-CL123</f>
        <v>0</v>
      </c>
      <c r="CM128" s="56"/>
      <c r="CN128" s="56"/>
      <c r="CO128" s="56">
        <f>CO116-CO119-CO123</f>
        <v>0</v>
      </c>
      <c r="CP128" s="56">
        <f>CP116-CP119-CP123</f>
        <v>0</v>
      </c>
      <c r="CQ128" s="56">
        <f t="shared" si="266"/>
        <v>0</v>
      </c>
      <c r="CR128" s="52" t="s">
        <v>250</v>
      </c>
      <c r="CS128" s="56">
        <f>CS116-CS119-CS123</f>
        <v>0</v>
      </c>
      <c r="CT128" s="56">
        <f>CT116-CT119-CT123</f>
        <v>0</v>
      </c>
      <c r="CU128" s="56"/>
      <c r="CV128" s="56"/>
      <c r="CW128" s="56">
        <f>CW116-CW119-CW123</f>
        <v>0</v>
      </c>
      <c r="CX128" s="56">
        <f>CX116-CX119-CX123</f>
        <v>0</v>
      </c>
      <c r="CY128" s="56">
        <f t="shared" si="267"/>
        <v>0</v>
      </c>
      <c r="CZ128" s="52" t="s">
        <v>250</v>
      </c>
      <c r="DA128" s="56" t="e">
        <f>DA116-DA119-DA123</f>
        <v>#REF!</v>
      </c>
      <c r="DB128" s="88">
        <f>DB116-DB119-DB123</f>
        <v>0</v>
      </c>
      <c r="DC128" s="56" t="e">
        <f>DC116-DC119-DC123</f>
        <v>#REF!</v>
      </c>
      <c r="DD128" s="56" t="e">
        <f t="shared" si="268"/>
        <v>#REF!</v>
      </c>
      <c r="DE128" s="83" t="s">
        <v>250</v>
      </c>
    </row>
    <row r="129" spans="1:109" ht="15.75" hidden="1">
      <c r="A129" s="98" t="s">
        <v>167</v>
      </c>
      <c r="B129" s="220"/>
      <c r="C129" s="10" t="s">
        <v>1</v>
      </c>
      <c r="D129" s="51">
        <f>IF(D116=0,0,D128/D116)</f>
        <v>0</v>
      </c>
      <c r="E129" s="51">
        <f>IF(E116=0,0,E128/E116)</f>
        <v>0</v>
      </c>
      <c r="F129" s="51"/>
      <c r="G129" s="51"/>
      <c r="H129" s="51"/>
      <c r="I129" s="51">
        <f>IF(I116=0,0,I128/I116)</f>
        <v>0</v>
      </c>
      <c r="J129" s="51">
        <f>IF(J116=0,0,J128/J116)</f>
        <v>0</v>
      </c>
      <c r="K129" s="51">
        <f t="shared" si="221"/>
        <v>0</v>
      </c>
      <c r="L129" s="51" t="s">
        <v>250</v>
      </c>
      <c r="M129" s="17">
        <f>IF(M116=0,0,M128/M116)</f>
        <v>0</v>
      </c>
      <c r="N129" s="51">
        <f>IF(N116=0,0,N128/N116)</f>
        <v>0</v>
      </c>
      <c r="O129" s="51"/>
      <c r="P129" s="51"/>
      <c r="Q129" s="51"/>
      <c r="R129" s="51">
        <f>IF(R116=0,0,R128/R116)</f>
        <v>0</v>
      </c>
      <c r="S129" s="51">
        <f>IF(S116=0,0,S128/S116)</f>
        <v>0</v>
      </c>
      <c r="T129" s="51">
        <f t="shared" si="257"/>
        <v>0</v>
      </c>
      <c r="U129" s="51" t="s">
        <v>250</v>
      </c>
      <c r="V129" s="51">
        <f>IF(V116=0,0,V128/V116)</f>
        <v>0</v>
      </c>
      <c r="W129" s="51">
        <f>IF(W116=0,0,W128/W116)</f>
        <v>0</v>
      </c>
      <c r="X129" s="51"/>
      <c r="Y129" s="51"/>
      <c r="Z129" s="51"/>
      <c r="AA129" s="51">
        <f>IF(AA116=0,0,AA128/AA116)</f>
        <v>0</v>
      </c>
      <c r="AB129" s="51">
        <f>IF(AB116=0,0,AB128/AB116)</f>
        <v>0</v>
      </c>
      <c r="AC129" s="51">
        <f t="shared" si="258"/>
        <v>0</v>
      </c>
      <c r="AD129" s="51" t="s">
        <v>250</v>
      </c>
      <c r="AE129" s="51">
        <f>IF(AE116=0,0,AE128/AE116)</f>
        <v>0</v>
      </c>
      <c r="AF129" s="51">
        <f>IF(AF116=0,0,AF128/AF116)</f>
        <v>0</v>
      </c>
      <c r="AG129" s="51"/>
      <c r="AH129" s="51"/>
      <c r="AI129" s="51"/>
      <c r="AJ129" s="51">
        <f>IF(AJ116=0,0,AJ128/AJ116)</f>
        <v>0</v>
      </c>
      <c r="AK129" s="51">
        <f>IF(AK116=0,0,AK128/AK116)</f>
        <v>0</v>
      </c>
      <c r="AL129" s="51">
        <f t="shared" si="259"/>
        <v>0</v>
      </c>
      <c r="AM129" s="51" t="s">
        <v>250</v>
      </c>
      <c r="AN129" s="51">
        <f>IF(AN116=0,0,AN128/AN116)</f>
        <v>0</v>
      </c>
      <c r="AO129" s="51">
        <f>IF(AO116=0,0,AO128/AO116)</f>
        <v>0</v>
      </c>
      <c r="AP129" s="51"/>
      <c r="AQ129" s="51"/>
      <c r="AR129" s="51"/>
      <c r="AS129" s="51">
        <f>IF(AS116=0,0,AS128/AS116)</f>
        <v>0</v>
      </c>
      <c r="AT129" s="51">
        <f>IF(AT116=0,0,AT128/AT116)</f>
        <v>0</v>
      </c>
      <c r="AU129" s="51">
        <f t="shared" si="260"/>
        <v>0</v>
      </c>
      <c r="AV129" s="51" t="s">
        <v>250</v>
      </c>
      <c r="AW129" s="51">
        <f>IF(AW116=0,0,AW128/AW116)</f>
        <v>0</v>
      </c>
      <c r="AX129" s="51">
        <f>IF(AX116=0,0,AX128/AX116)</f>
        <v>0</v>
      </c>
      <c r="AY129" s="51"/>
      <c r="AZ129" s="51"/>
      <c r="BA129" s="51">
        <f>IF(BA116=0,0,BA128/BA116)</f>
        <v>0</v>
      </c>
      <c r="BB129" s="51">
        <f>IF(BB116=0,0,BB128/BB116)</f>
        <v>0</v>
      </c>
      <c r="BC129" s="51">
        <f t="shared" si="261"/>
        <v>0</v>
      </c>
      <c r="BD129" s="51" t="s">
        <v>250</v>
      </c>
      <c r="BE129" s="51">
        <f>IF(BE116=0,0,BE128/BE116)</f>
        <v>0</v>
      </c>
      <c r="BF129" s="51"/>
      <c r="BG129" s="51">
        <f>IF(BG116=0,0,BG128/BG116)</f>
        <v>0</v>
      </c>
      <c r="BH129" s="51"/>
      <c r="BI129" s="51">
        <f>IF(BI116=0,0,BI128/BI116)</f>
        <v>0</v>
      </c>
      <c r="BJ129" s="51">
        <f>IF(BJ116=0,0,BJ128/BJ116)</f>
        <v>0</v>
      </c>
      <c r="BK129" s="51">
        <f t="shared" si="262"/>
        <v>0</v>
      </c>
      <c r="BL129" s="51" t="s">
        <v>250</v>
      </c>
      <c r="BM129" s="51">
        <f>IF(BM116=0,0,BM128/BM116)</f>
        <v>0</v>
      </c>
      <c r="BN129" s="51">
        <f>IF(BN116=0,0,BN128/BN116)</f>
        <v>0</v>
      </c>
      <c r="BO129" s="51"/>
      <c r="BP129" s="51"/>
      <c r="BQ129" s="51">
        <f>IF(BQ116=0,0,BQ128/BQ116)</f>
        <v>0</v>
      </c>
      <c r="BR129" s="51">
        <f>IF(BR116=0,0,BR128/BR116)</f>
        <v>0</v>
      </c>
      <c r="BS129" s="51">
        <f t="shared" si="263"/>
        <v>0</v>
      </c>
      <c r="BT129" s="51" t="s">
        <v>250</v>
      </c>
      <c r="BU129" s="51">
        <f>IF(BU116=0,0,BU128/BU116)</f>
        <v>0</v>
      </c>
      <c r="BV129" s="51">
        <f>IF(BV116=0,0,BV128/BV116)</f>
        <v>0</v>
      </c>
      <c r="BW129" s="51"/>
      <c r="BX129" s="51"/>
      <c r="BY129" s="51">
        <f>IF(BY116=0,0,BY128/BY116)</f>
        <v>0</v>
      </c>
      <c r="BZ129" s="51">
        <f>IF(BZ116=0,0,BZ128/BZ116)</f>
        <v>0</v>
      </c>
      <c r="CA129" s="51">
        <f t="shared" si="264"/>
        <v>0</v>
      </c>
      <c r="CB129" s="51" t="s">
        <v>250</v>
      </c>
      <c r="CC129" s="51">
        <f>IF(CC116=0,0,CC128/CC116)</f>
        <v>0</v>
      </c>
      <c r="CD129" s="51">
        <f>IF(CD116=0,0,CD128/CD116)</f>
        <v>0</v>
      </c>
      <c r="CE129" s="51"/>
      <c r="CF129" s="51"/>
      <c r="CG129" s="51">
        <f>IF(CG116=0,0,CG128/CG116)</f>
        <v>0</v>
      </c>
      <c r="CH129" s="152">
        <f>IF(CH116=0,0,CH128/CH116)</f>
        <v>0</v>
      </c>
      <c r="CI129" s="51">
        <f t="shared" si="265"/>
        <v>0</v>
      </c>
      <c r="CJ129" s="51" t="s">
        <v>250</v>
      </c>
      <c r="CK129" s="51">
        <f>IF(CK116=0,0,CK128/CK116)</f>
        <v>0</v>
      </c>
      <c r="CL129" s="51">
        <f>IF(CL116=0,0,CL128/CL116)</f>
        <v>0</v>
      </c>
      <c r="CM129" s="51"/>
      <c r="CN129" s="51"/>
      <c r="CO129" s="51">
        <f>IF(CO116=0,0,CO128/CO116)</f>
        <v>0</v>
      </c>
      <c r="CP129" s="51">
        <f>IF(CP116=0,0,CP128/CP116)</f>
        <v>0</v>
      </c>
      <c r="CQ129" s="51">
        <f t="shared" si="266"/>
        <v>0</v>
      </c>
      <c r="CR129" s="51" t="s">
        <v>250</v>
      </c>
      <c r="CS129" s="51">
        <f>IF(CS116=0,0,CS128/CS116)</f>
        <v>0</v>
      </c>
      <c r="CT129" s="51">
        <f>IF(CT116=0,0,CT128/CT116)</f>
        <v>0</v>
      </c>
      <c r="CU129" s="51"/>
      <c r="CV129" s="51"/>
      <c r="CW129" s="51">
        <f>IF(CW116=0,0,CW128/CW116)</f>
        <v>0</v>
      </c>
      <c r="CX129" s="51">
        <f>IF(CX116=0,0,CX128/CX116)</f>
        <v>0</v>
      </c>
      <c r="CY129" s="51">
        <f t="shared" si="267"/>
        <v>0</v>
      </c>
      <c r="CZ129" s="51" t="s">
        <v>250</v>
      </c>
      <c r="DA129" s="51" t="e">
        <f>IF(DA116=0,0,DA128/DA116)</f>
        <v>#REF!</v>
      </c>
      <c r="DB129" s="85">
        <f>IF(DB116=0,0,DB128/DB116)</f>
        <v>0</v>
      </c>
      <c r="DC129" s="51" t="e">
        <f>IF(DC116=0,0,DC128/DC116)</f>
        <v>#REF!</v>
      </c>
      <c r="DD129" s="51" t="e">
        <f t="shared" si="268"/>
        <v>#REF!</v>
      </c>
      <c r="DE129" s="86" t="s">
        <v>250</v>
      </c>
    </row>
    <row r="130" spans="1:109" ht="15.75" hidden="1">
      <c r="A130" s="98" t="s">
        <v>168</v>
      </c>
      <c r="B130" s="222" t="s">
        <v>108</v>
      </c>
      <c r="C130" s="10" t="s">
        <v>4</v>
      </c>
      <c r="D130" s="55">
        <f>D98+D114</f>
        <v>0</v>
      </c>
      <c r="E130" s="55">
        <f>E98+E114</f>
        <v>0</v>
      </c>
      <c r="F130" s="55"/>
      <c r="G130" s="55"/>
      <c r="H130" s="55"/>
      <c r="I130" s="55">
        <f>I98+I114</f>
        <v>0</v>
      </c>
      <c r="J130" s="55">
        <f>J98+J114</f>
        <v>0</v>
      </c>
      <c r="K130" s="52">
        <f t="shared" si="221"/>
        <v>0</v>
      </c>
      <c r="L130" s="52" t="s">
        <v>250</v>
      </c>
      <c r="M130" s="17">
        <f>M98+M114</f>
        <v>0</v>
      </c>
      <c r="N130" s="55">
        <f>N98+N114</f>
        <v>0</v>
      </c>
      <c r="O130" s="55"/>
      <c r="P130" s="55"/>
      <c r="Q130" s="55"/>
      <c r="R130" s="55">
        <f>R98+R114</f>
        <v>0</v>
      </c>
      <c r="S130" s="55">
        <f>S98+S114</f>
        <v>0</v>
      </c>
      <c r="T130" s="52">
        <f t="shared" si="257"/>
        <v>0</v>
      </c>
      <c r="U130" s="52" t="s">
        <v>250</v>
      </c>
      <c r="V130" s="55">
        <f>V98+V114</f>
        <v>0</v>
      </c>
      <c r="W130" s="55">
        <f>W98+W114</f>
        <v>0</v>
      </c>
      <c r="X130" s="55"/>
      <c r="Y130" s="55"/>
      <c r="Z130" s="55"/>
      <c r="AA130" s="55">
        <f>AA98+AA114</f>
        <v>0</v>
      </c>
      <c r="AB130" s="55">
        <f>AB98+AB114</f>
        <v>0</v>
      </c>
      <c r="AC130" s="52">
        <f t="shared" si="258"/>
        <v>0</v>
      </c>
      <c r="AD130" s="52" t="s">
        <v>250</v>
      </c>
      <c r="AE130" s="55">
        <f>AE98+AE114</f>
        <v>0</v>
      </c>
      <c r="AF130" s="55">
        <f>AF98+AF114</f>
        <v>0</v>
      </c>
      <c r="AG130" s="55"/>
      <c r="AH130" s="55"/>
      <c r="AI130" s="55"/>
      <c r="AJ130" s="55">
        <f>AJ98+AJ114</f>
        <v>0</v>
      </c>
      <c r="AK130" s="55">
        <f>AK98+AK114</f>
        <v>0</v>
      </c>
      <c r="AL130" s="52">
        <f t="shared" si="259"/>
        <v>0</v>
      </c>
      <c r="AM130" s="52" t="s">
        <v>250</v>
      </c>
      <c r="AN130" s="55">
        <f>AN98+AN114</f>
        <v>0</v>
      </c>
      <c r="AO130" s="55">
        <f>AO98+AO114</f>
        <v>0</v>
      </c>
      <c r="AP130" s="55"/>
      <c r="AQ130" s="55"/>
      <c r="AR130" s="55"/>
      <c r="AS130" s="55">
        <f>AS98+AS114</f>
        <v>0</v>
      </c>
      <c r="AT130" s="55">
        <f>AT98+AT114</f>
        <v>0</v>
      </c>
      <c r="AU130" s="52">
        <f t="shared" si="260"/>
        <v>0</v>
      </c>
      <c r="AV130" s="52" t="s">
        <v>250</v>
      </c>
      <c r="AW130" s="55">
        <f>AW98+AW114</f>
        <v>0</v>
      </c>
      <c r="AX130" s="55">
        <f>AX98+AX114</f>
        <v>0</v>
      </c>
      <c r="AY130" s="55"/>
      <c r="AZ130" s="55"/>
      <c r="BA130" s="55">
        <f>BA98+BA114</f>
        <v>0</v>
      </c>
      <c r="BB130" s="55">
        <f>BB98+BB114</f>
        <v>0</v>
      </c>
      <c r="BC130" s="52">
        <f t="shared" si="261"/>
        <v>0</v>
      </c>
      <c r="BD130" s="52" t="s">
        <v>250</v>
      </c>
      <c r="BE130" s="55">
        <f>BE98+BE114</f>
        <v>0</v>
      </c>
      <c r="BF130" s="55"/>
      <c r="BG130" s="55">
        <f>BG98+BG114</f>
        <v>0</v>
      </c>
      <c r="BH130" s="55"/>
      <c r="BI130" s="55">
        <f>BI98+BI114</f>
        <v>0</v>
      </c>
      <c r="BJ130" s="55">
        <f>BJ98+BJ114</f>
        <v>0</v>
      </c>
      <c r="BK130" s="52">
        <f t="shared" si="262"/>
        <v>0</v>
      </c>
      <c r="BL130" s="52" t="s">
        <v>250</v>
      </c>
      <c r="BM130" s="55">
        <f>BM98+BM114</f>
        <v>0</v>
      </c>
      <c r="BN130" s="55">
        <f>BN98+BN114</f>
        <v>0</v>
      </c>
      <c r="BO130" s="55"/>
      <c r="BP130" s="55"/>
      <c r="BQ130" s="55">
        <f>BQ98+BQ114</f>
        <v>0</v>
      </c>
      <c r="BR130" s="55">
        <f>BR98+BR114</f>
        <v>0</v>
      </c>
      <c r="BS130" s="52">
        <f t="shared" si="263"/>
        <v>0</v>
      </c>
      <c r="BT130" s="52" t="s">
        <v>250</v>
      </c>
      <c r="BU130" s="55">
        <f>BU98+BU114</f>
        <v>0</v>
      </c>
      <c r="BV130" s="55">
        <f>BV98+BV114</f>
        <v>0</v>
      </c>
      <c r="BW130" s="55"/>
      <c r="BX130" s="55"/>
      <c r="BY130" s="55">
        <f>BY98+BY114</f>
        <v>0</v>
      </c>
      <c r="BZ130" s="55">
        <f>BZ98+BZ114</f>
        <v>0</v>
      </c>
      <c r="CA130" s="52">
        <f t="shared" si="264"/>
        <v>0</v>
      </c>
      <c r="CB130" s="52" t="s">
        <v>250</v>
      </c>
      <c r="CC130" s="55">
        <f>CC98+CC114</f>
        <v>0</v>
      </c>
      <c r="CD130" s="55">
        <f>CD98+CD114</f>
        <v>0</v>
      </c>
      <c r="CE130" s="55"/>
      <c r="CF130" s="55"/>
      <c r="CG130" s="55">
        <f>CG98+CG114</f>
        <v>0</v>
      </c>
      <c r="CH130" s="180">
        <f>CH98+CH114</f>
        <v>0</v>
      </c>
      <c r="CI130" s="52">
        <f t="shared" si="265"/>
        <v>0</v>
      </c>
      <c r="CJ130" s="52" t="s">
        <v>250</v>
      </c>
      <c r="CK130" s="55">
        <f>CK98+CK114</f>
        <v>0</v>
      </c>
      <c r="CL130" s="55">
        <f>CL98+CL114</f>
        <v>0</v>
      </c>
      <c r="CM130" s="55"/>
      <c r="CN130" s="55"/>
      <c r="CO130" s="55">
        <f>CO98+CO114</f>
        <v>0</v>
      </c>
      <c r="CP130" s="55">
        <f>CP98+CP114</f>
        <v>0</v>
      </c>
      <c r="CQ130" s="52">
        <f t="shared" si="266"/>
        <v>0</v>
      </c>
      <c r="CR130" s="52" t="s">
        <v>250</v>
      </c>
      <c r="CS130" s="55">
        <f>CS98+CS114</f>
        <v>0</v>
      </c>
      <c r="CT130" s="55">
        <f>CT98+CT114</f>
        <v>0</v>
      </c>
      <c r="CU130" s="55"/>
      <c r="CV130" s="55"/>
      <c r="CW130" s="55">
        <f>CW98+CW114</f>
        <v>0</v>
      </c>
      <c r="CX130" s="55">
        <f>CX98+CX114</f>
        <v>0</v>
      </c>
      <c r="CY130" s="52">
        <f t="shared" si="267"/>
        <v>0</v>
      </c>
      <c r="CZ130" s="52" t="s">
        <v>250</v>
      </c>
      <c r="DA130" s="52" t="e">
        <f>DA98+DA114</f>
        <v>#REF!</v>
      </c>
      <c r="DB130" s="92">
        <f>DB98+DB114</f>
        <v>0</v>
      </c>
      <c r="DC130" s="55" t="e">
        <f>DC98+DC114</f>
        <v>#REF!</v>
      </c>
      <c r="DD130" s="52" t="e">
        <f t="shared" si="268"/>
        <v>#REF!</v>
      </c>
      <c r="DE130" s="83" t="s">
        <v>250</v>
      </c>
    </row>
    <row r="131" spans="1:109" ht="15.75" hidden="1">
      <c r="A131" s="98" t="s">
        <v>169</v>
      </c>
      <c r="B131" s="222"/>
      <c r="C131" s="10" t="s">
        <v>1</v>
      </c>
      <c r="D131" s="54">
        <f>IF(D116=0,0,D130/D116)</f>
        <v>0</v>
      </c>
      <c r="E131" s="54">
        <f>IF(E116=0,0,E130/E116)</f>
        <v>0</v>
      </c>
      <c r="F131" s="54"/>
      <c r="G131" s="54"/>
      <c r="H131" s="54"/>
      <c r="I131" s="54">
        <f>IF(I116=0,0,I130/I116)</f>
        <v>0</v>
      </c>
      <c r="J131" s="54">
        <f>IF(J116=0,0,J130/J116)</f>
        <v>0</v>
      </c>
      <c r="K131" s="51">
        <f t="shared" si="221"/>
        <v>0</v>
      </c>
      <c r="L131" s="51" t="s">
        <v>250</v>
      </c>
      <c r="M131" s="17">
        <f>IF(M116=0,0,M130/M116)</f>
        <v>0</v>
      </c>
      <c r="N131" s="54">
        <f>IF(N116=0,0,N130/N116)</f>
        <v>0</v>
      </c>
      <c r="O131" s="54"/>
      <c r="P131" s="54"/>
      <c r="Q131" s="54"/>
      <c r="R131" s="54">
        <f>IF(R116=0,0,R130/R116)</f>
        <v>0</v>
      </c>
      <c r="S131" s="54">
        <f>IF(S116=0,0,S130/S116)</f>
        <v>0</v>
      </c>
      <c r="T131" s="51">
        <f t="shared" si="257"/>
        <v>0</v>
      </c>
      <c r="U131" s="51" t="s">
        <v>250</v>
      </c>
      <c r="V131" s="54">
        <f>IF(V116=0,0,V130/V116)</f>
        <v>0</v>
      </c>
      <c r="W131" s="54">
        <f>IF(W116=0,0,W130/W116)</f>
        <v>0</v>
      </c>
      <c r="X131" s="54"/>
      <c r="Y131" s="54"/>
      <c r="Z131" s="54"/>
      <c r="AA131" s="54">
        <f>IF(AA116=0,0,AA130/AA116)</f>
        <v>0</v>
      </c>
      <c r="AB131" s="54">
        <f>IF(AB116=0,0,AB130/AB116)</f>
        <v>0</v>
      </c>
      <c r="AC131" s="51">
        <f t="shared" si="258"/>
        <v>0</v>
      </c>
      <c r="AD131" s="51" t="s">
        <v>250</v>
      </c>
      <c r="AE131" s="54">
        <f>IF(AE116=0,0,AE130/AE116)</f>
        <v>0</v>
      </c>
      <c r="AF131" s="54">
        <f>IF(AF116=0,0,AF130/AF116)</f>
        <v>0</v>
      </c>
      <c r="AG131" s="54"/>
      <c r="AH131" s="54"/>
      <c r="AI131" s="54"/>
      <c r="AJ131" s="54">
        <f>IF(AJ116=0,0,AJ130/AJ116)</f>
        <v>0</v>
      </c>
      <c r="AK131" s="54">
        <f>IF(AK116=0,0,AK130/AK116)</f>
        <v>0</v>
      </c>
      <c r="AL131" s="51">
        <f t="shared" si="259"/>
        <v>0</v>
      </c>
      <c r="AM131" s="51" t="s">
        <v>250</v>
      </c>
      <c r="AN131" s="54">
        <f>IF(AN116=0,0,AN130/AN116)</f>
        <v>0</v>
      </c>
      <c r="AO131" s="54">
        <f>IF(AO116=0,0,AO130/AO116)</f>
        <v>0</v>
      </c>
      <c r="AP131" s="54"/>
      <c r="AQ131" s="54"/>
      <c r="AR131" s="54"/>
      <c r="AS131" s="54">
        <f>IF(AS116=0,0,AS130/AS116)</f>
        <v>0</v>
      </c>
      <c r="AT131" s="54">
        <f>IF(AT116=0,0,AT130/AT116)</f>
        <v>0</v>
      </c>
      <c r="AU131" s="51">
        <f t="shared" si="260"/>
        <v>0</v>
      </c>
      <c r="AV131" s="51" t="s">
        <v>250</v>
      </c>
      <c r="AW131" s="54">
        <f>IF(AW116=0,0,AW130/AW116)</f>
        <v>0</v>
      </c>
      <c r="AX131" s="54">
        <f>IF(AX116=0,0,AX130/AX116)</f>
        <v>0</v>
      </c>
      <c r="AY131" s="54"/>
      <c r="AZ131" s="54"/>
      <c r="BA131" s="54">
        <f>IF(BA116=0,0,BA130/BA116)</f>
        <v>0</v>
      </c>
      <c r="BB131" s="54">
        <f>IF(BB116=0,0,BB130/BB116)</f>
        <v>0</v>
      </c>
      <c r="BC131" s="51">
        <f t="shared" si="261"/>
        <v>0</v>
      </c>
      <c r="BD131" s="51" t="s">
        <v>250</v>
      </c>
      <c r="BE131" s="54">
        <f>IF(BE116=0,0,BE130/BE116)</f>
        <v>0</v>
      </c>
      <c r="BF131" s="54"/>
      <c r="BG131" s="54">
        <f>IF(BG116=0,0,BG130/BG116)</f>
        <v>0</v>
      </c>
      <c r="BH131" s="54"/>
      <c r="BI131" s="54">
        <f>IF(BI116=0,0,BI130/BI116)</f>
        <v>0</v>
      </c>
      <c r="BJ131" s="54">
        <f>IF(BJ116=0,0,BJ130/BJ116)</f>
        <v>0</v>
      </c>
      <c r="BK131" s="51">
        <f t="shared" si="262"/>
        <v>0</v>
      </c>
      <c r="BL131" s="51" t="s">
        <v>250</v>
      </c>
      <c r="BM131" s="54">
        <f>IF(BM116=0,0,BM130/BM116)</f>
        <v>0</v>
      </c>
      <c r="BN131" s="54">
        <f>IF(BN116=0,0,BN130/BN116)</f>
        <v>0</v>
      </c>
      <c r="BO131" s="54"/>
      <c r="BP131" s="54"/>
      <c r="BQ131" s="54">
        <f>IF(BQ116=0,0,BQ130/BQ116)</f>
        <v>0</v>
      </c>
      <c r="BR131" s="54">
        <f>IF(BR116=0,0,BR130/BR116)</f>
        <v>0</v>
      </c>
      <c r="BS131" s="51">
        <f t="shared" si="263"/>
        <v>0</v>
      </c>
      <c r="BT131" s="51" t="s">
        <v>250</v>
      </c>
      <c r="BU131" s="54">
        <f>IF(BU116=0,0,BU130/BU116)</f>
        <v>0</v>
      </c>
      <c r="BV131" s="54">
        <f>IF(BV116=0,0,BV130/BV116)</f>
        <v>0</v>
      </c>
      <c r="BW131" s="54"/>
      <c r="BX131" s="54"/>
      <c r="BY131" s="54">
        <f>IF(BY116=0,0,BY130/BY116)</f>
        <v>0</v>
      </c>
      <c r="BZ131" s="54">
        <f>IF(BZ116=0,0,BZ130/BZ116)</f>
        <v>0</v>
      </c>
      <c r="CA131" s="51">
        <f t="shared" si="264"/>
        <v>0</v>
      </c>
      <c r="CB131" s="51" t="s">
        <v>250</v>
      </c>
      <c r="CC131" s="54">
        <f>IF(CC116=0,0,CC130/CC116)</f>
        <v>0</v>
      </c>
      <c r="CD131" s="54">
        <f>IF(CD116=0,0,CD130/CD116)</f>
        <v>0</v>
      </c>
      <c r="CE131" s="54"/>
      <c r="CF131" s="54"/>
      <c r="CG131" s="54">
        <f>IF(CG116=0,0,CG130/CG116)</f>
        <v>0</v>
      </c>
      <c r="CH131" s="180">
        <f>IF(CH116=0,0,CH130/CH116)</f>
        <v>0</v>
      </c>
      <c r="CI131" s="51">
        <f t="shared" si="265"/>
        <v>0</v>
      </c>
      <c r="CJ131" s="51" t="s">
        <v>250</v>
      </c>
      <c r="CK131" s="54">
        <f>IF(CK116=0,0,CK130/CK116)</f>
        <v>0</v>
      </c>
      <c r="CL131" s="54">
        <f>IF(CL116=0,0,CL130/CL116)</f>
        <v>0</v>
      </c>
      <c r="CM131" s="54"/>
      <c r="CN131" s="54"/>
      <c r="CO131" s="54">
        <f>IF(CO116=0,0,CO130/CO116)</f>
        <v>0</v>
      </c>
      <c r="CP131" s="54">
        <f>IF(CP116=0,0,CP130/CP116)</f>
        <v>0</v>
      </c>
      <c r="CQ131" s="51">
        <f t="shared" si="266"/>
        <v>0</v>
      </c>
      <c r="CR131" s="51" t="s">
        <v>250</v>
      </c>
      <c r="CS131" s="54">
        <f>IF(CS116=0,0,CS130/CS116)</f>
        <v>0</v>
      </c>
      <c r="CT131" s="54">
        <f>IF(CT116=0,0,CT130/CT116)</f>
        <v>0</v>
      </c>
      <c r="CU131" s="54"/>
      <c r="CV131" s="54"/>
      <c r="CW131" s="54">
        <f>IF(CW116=0,0,CW130/CW116)</f>
        <v>0</v>
      </c>
      <c r="CX131" s="54">
        <f>IF(CX116=0,0,CX130/CX116)</f>
        <v>0</v>
      </c>
      <c r="CY131" s="51">
        <f t="shared" si="267"/>
        <v>0</v>
      </c>
      <c r="CZ131" s="51" t="s">
        <v>250</v>
      </c>
      <c r="DA131" s="51" t="e">
        <f>IF(DA116=0,0,DA130/DA116)</f>
        <v>#REF!</v>
      </c>
      <c r="DB131" s="87">
        <f>IF(DB116=0,0,DB130/DB116)</f>
        <v>0</v>
      </c>
      <c r="DC131" s="54" t="e">
        <f>IF(DC116=0,0,DC130/DC116)</f>
        <v>#REF!</v>
      </c>
      <c r="DD131" s="51" t="e">
        <f t="shared" si="268"/>
        <v>#REF!</v>
      </c>
      <c r="DE131" s="86" t="s">
        <v>250</v>
      </c>
    </row>
    <row r="132" spans="1:109" s="8" customFormat="1" ht="18.75" hidden="1">
      <c r="A132" s="98" t="s">
        <v>170</v>
      </c>
      <c r="B132" s="37" t="s">
        <v>171</v>
      </c>
      <c r="C132" s="6"/>
      <c r="D132" s="38"/>
      <c r="E132" s="38"/>
      <c r="F132" s="38"/>
      <c r="G132" s="38"/>
      <c r="H132" s="38"/>
      <c r="I132" s="38"/>
      <c r="J132" s="38"/>
      <c r="K132" s="38"/>
      <c r="L132" s="38"/>
      <c r="M132" s="52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  <c r="BT132" s="38"/>
      <c r="BU132" s="38"/>
      <c r="BV132" s="38"/>
      <c r="BW132" s="38"/>
      <c r="BX132" s="38"/>
      <c r="BY132" s="38"/>
      <c r="BZ132" s="38"/>
      <c r="CA132" s="38"/>
      <c r="CB132" s="38"/>
      <c r="CC132" s="38"/>
      <c r="CD132" s="38"/>
      <c r="CE132" s="38"/>
      <c r="CF132" s="38"/>
      <c r="CG132" s="38"/>
      <c r="CH132" s="182"/>
      <c r="CI132" s="38"/>
      <c r="CJ132" s="38"/>
      <c r="CK132" s="38"/>
      <c r="CL132" s="38"/>
      <c r="CM132" s="38"/>
      <c r="CN132" s="38"/>
      <c r="CO132" s="38"/>
      <c r="CP132" s="38"/>
      <c r="CQ132" s="38"/>
      <c r="CR132" s="38"/>
      <c r="CS132" s="38"/>
      <c r="CT132" s="38"/>
      <c r="CU132" s="38"/>
      <c r="CV132" s="38"/>
      <c r="CW132" s="38"/>
      <c r="CX132" s="38"/>
      <c r="CY132" s="38"/>
      <c r="CZ132" s="38"/>
      <c r="DA132" s="38"/>
      <c r="DB132" s="89"/>
      <c r="DC132" s="38"/>
      <c r="DD132" s="38"/>
      <c r="DE132" s="90"/>
    </row>
    <row r="133" spans="1:109" ht="15.75" hidden="1">
      <c r="A133" s="98" t="s">
        <v>172</v>
      </c>
      <c r="B133" s="35" t="s">
        <v>173</v>
      </c>
      <c r="C133" s="10" t="s">
        <v>174</v>
      </c>
      <c r="D133" s="52">
        <f>D134+D135</f>
        <v>0</v>
      </c>
      <c r="E133" s="52">
        <f>E134+E135</f>
        <v>0</v>
      </c>
      <c r="F133" s="52"/>
      <c r="G133" s="52"/>
      <c r="H133" s="52"/>
      <c r="I133" s="52">
        <f>I134+I135</f>
        <v>0</v>
      </c>
      <c r="J133" s="52">
        <f>J134+J135</f>
        <v>0</v>
      </c>
      <c r="K133" s="52">
        <f t="shared" si="221"/>
        <v>0</v>
      </c>
      <c r="L133" s="109">
        <f>IF(I133=0,0,K133/I133)</f>
        <v>0</v>
      </c>
      <c r="M133" s="21">
        <f>M134+M135</f>
        <v>0</v>
      </c>
      <c r="N133" s="52">
        <f>N134+N135</f>
        <v>0</v>
      </c>
      <c r="O133" s="52"/>
      <c r="P133" s="52"/>
      <c r="Q133" s="52"/>
      <c r="R133" s="52">
        <f>R134+R135</f>
        <v>0</v>
      </c>
      <c r="S133" s="52">
        <f>S134+S135</f>
        <v>0</v>
      </c>
      <c r="T133" s="52">
        <f aca="true" t="shared" si="295" ref="T133:T138">S133-R133</f>
        <v>0</v>
      </c>
      <c r="U133" s="109">
        <f aca="true" t="shared" si="296" ref="U133:U138">IF(R133=0,0,T133/R133)</f>
        <v>0</v>
      </c>
      <c r="V133" s="52">
        <f>V134+V135</f>
        <v>0</v>
      </c>
      <c r="W133" s="52">
        <f>W134+W135</f>
        <v>0</v>
      </c>
      <c r="X133" s="52"/>
      <c r="Y133" s="52"/>
      <c r="Z133" s="52"/>
      <c r="AA133" s="52">
        <f>AA134+AA135</f>
        <v>0</v>
      </c>
      <c r="AB133" s="52">
        <f>AB134+AB135</f>
        <v>0</v>
      </c>
      <c r="AC133" s="52">
        <f aca="true" t="shared" si="297" ref="AC133:AC138">AB133-AA133</f>
        <v>0</v>
      </c>
      <c r="AD133" s="109">
        <f aca="true" t="shared" si="298" ref="AD133:AD138">IF(AA133=0,0,AC133/AA133)</f>
        <v>0</v>
      </c>
      <c r="AE133" s="52">
        <f>AE134+AE135</f>
        <v>0</v>
      </c>
      <c r="AF133" s="52">
        <f>AF134+AF135</f>
        <v>0</v>
      </c>
      <c r="AG133" s="52"/>
      <c r="AH133" s="52"/>
      <c r="AI133" s="52"/>
      <c r="AJ133" s="52">
        <f>AJ134+AJ135</f>
        <v>0</v>
      </c>
      <c r="AK133" s="52">
        <f>AK134+AK135</f>
        <v>0</v>
      </c>
      <c r="AL133" s="52">
        <f aca="true" t="shared" si="299" ref="AL133:AL138">AK133-AJ133</f>
        <v>0</v>
      </c>
      <c r="AM133" s="109">
        <f aca="true" t="shared" si="300" ref="AM133:AM138">IF(AJ133=0,0,AL133/AJ133)</f>
        <v>0</v>
      </c>
      <c r="AN133" s="52">
        <f>AN134+AN135</f>
        <v>0</v>
      </c>
      <c r="AO133" s="52">
        <f>AO134+AO135</f>
        <v>0</v>
      </c>
      <c r="AP133" s="52"/>
      <c r="AQ133" s="52"/>
      <c r="AR133" s="52"/>
      <c r="AS133" s="52">
        <f>AS134+AS135</f>
        <v>0</v>
      </c>
      <c r="AT133" s="52">
        <f>AT134+AT135</f>
        <v>0</v>
      </c>
      <c r="AU133" s="52">
        <f aca="true" t="shared" si="301" ref="AU133:AU138">AT133-AS133</f>
        <v>0</v>
      </c>
      <c r="AV133" s="109">
        <f aca="true" t="shared" si="302" ref="AV133:AV138">IF(AS133=0,0,AU133/AS133)</f>
        <v>0</v>
      </c>
      <c r="AW133" s="52">
        <f>AW134+AW135</f>
        <v>0</v>
      </c>
      <c r="AX133" s="52">
        <f>AX134+AX135</f>
        <v>0</v>
      </c>
      <c r="AY133" s="52"/>
      <c r="AZ133" s="52"/>
      <c r="BA133" s="52">
        <f>BA134+BA135</f>
        <v>0</v>
      </c>
      <c r="BB133" s="52">
        <f>BB134+BB135</f>
        <v>0</v>
      </c>
      <c r="BC133" s="52">
        <f aca="true" t="shared" si="303" ref="BC133:BC138">BB133-BA133</f>
        <v>0</v>
      </c>
      <c r="BD133" s="109">
        <f aca="true" t="shared" si="304" ref="BD133:BD138">IF(BA133=0,0,BC133/BA133)</f>
        <v>0</v>
      </c>
      <c r="BE133" s="52">
        <f>BE134+BE135</f>
        <v>0</v>
      </c>
      <c r="BF133" s="52"/>
      <c r="BG133" s="52">
        <f>BG134+BG135</f>
        <v>0</v>
      </c>
      <c r="BH133" s="52"/>
      <c r="BI133" s="52">
        <f>BI134+BI135</f>
        <v>0</v>
      </c>
      <c r="BJ133" s="52">
        <f>BJ134+BJ135</f>
        <v>0</v>
      </c>
      <c r="BK133" s="52">
        <f aca="true" t="shared" si="305" ref="BK133:BK138">BJ133-BI133</f>
        <v>0</v>
      </c>
      <c r="BL133" s="109">
        <f aca="true" t="shared" si="306" ref="BL133:BL138">IF(BI133=0,0,BK133/BI133)</f>
        <v>0</v>
      </c>
      <c r="BM133" s="52">
        <f>BM134+BM135</f>
        <v>0</v>
      </c>
      <c r="BN133" s="52">
        <f>BN134+BN135</f>
        <v>0</v>
      </c>
      <c r="BO133" s="52"/>
      <c r="BP133" s="52"/>
      <c r="BQ133" s="52">
        <f>BQ134+BQ135</f>
        <v>0</v>
      </c>
      <c r="BR133" s="52">
        <f>BR134+BR135</f>
        <v>0</v>
      </c>
      <c r="BS133" s="52">
        <f aca="true" t="shared" si="307" ref="BS133:BS138">BR133-BQ133</f>
        <v>0</v>
      </c>
      <c r="BT133" s="109">
        <f aca="true" t="shared" si="308" ref="BT133:BT138">IF(BQ133=0,0,BS133/BQ133)</f>
        <v>0</v>
      </c>
      <c r="BU133" s="52">
        <f>BU134+BU135</f>
        <v>0</v>
      </c>
      <c r="BV133" s="52">
        <f>BV134+BV135</f>
        <v>0</v>
      </c>
      <c r="BW133" s="52"/>
      <c r="BX133" s="52"/>
      <c r="BY133" s="52">
        <f>BY134+BY135</f>
        <v>0</v>
      </c>
      <c r="BZ133" s="52">
        <f>BZ134+BZ135</f>
        <v>0</v>
      </c>
      <c r="CA133" s="52">
        <f aca="true" t="shared" si="309" ref="CA133:CA138">BZ133-BY133</f>
        <v>0</v>
      </c>
      <c r="CB133" s="109">
        <f aca="true" t="shared" si="310" ref="CB133:CB138">IF(BY133=0,0,CA133/BY133)</f>
        <v>0</v>
      </c>
      <c r="CC133" s="52">
        <f>CC134+CC135</f>
        <v>0</v>
      </c>
      <c r="CD133" s="52">
        <f>CD134+CD135</f>
        <v>0</v>
      </c>
      <c r="CE133" s="52"/>
      <c r="CF133" s="52"/>
      <c r="CG133" s="52">
        <f>CG134+CG135</f>
        <v>0</v>
      </c>
      <c r="CH133" s="152">
        <f>CH134+CH135</f>
        <v>0</v>
      </c>
      <c r="CI133" s="52">
        <f aca="true" t="shared" si="311" ref="CI133:CI138">CH133-CG133</f>
        <v>0</v>
      </c>
      <c r="CJ133" s="109">
        <f aca="true" t="shared" si="312" ref="CJ133:CJ138">IF(CG133=0,0,CI133/CG133)</f>
        <v>0</v>
      </c>
      <c r="CK133" s="52">
        <f>CK134+CK135</f>
        <v>0</v>
      </c>
      <c r="CL133" s="52">
        <f>CL134+CL135</f>
        <v>0</v>
      </c>
      <c r="CM133" s="52"/>
      <c r="CN133" s="52"/>
      <c r="CO133" s="52">
        <f>CO134+CO135</f>
        <v>0</v>
      </c>
      <c r="CP133" s="52">
        <f>CP134+CP135</f>
        <v>0</v>
      </c>
      <c r="CQ133" s="52">
        <f aca="true" t="shared" si="313" ref="CQ133:CQ138">CP133-CO133</f>
        <v>0</v>
      </c>
      <c r="CR133" s="109">
        <f aca="true" t="shared" si="314" ref="CR133:CR138">IF(CO133=0,0,CQ133/CO133)</f>
        <v>0</v>
      </c>
      <c r="CS133" s="52">
        <f>CS134+CS135</f>
        <v>0</v>
      </c>
      <c r="CT133" s="52">
        <f>CT134+CT135</f>
        <v>0</v>
      </c>
      <c r="CU133" s="52"/>
      <c r="CV133" s="52"/>
      <c r="CW133" s="52">
        <f>CW134+CW135</f>
        <v>0</v>
      </c>
      <c r="CX133" s="52">
        <f>CX134+CX135</f>
        <v>0</v>
      </c>
      <c r="CY133" s="52">
        <f aca="true" t="shared" si="315" ref="CY133:CY138">CX133-CW133</f>
        <v>0</v>
      </c>
      <c r="CZ133" s="109">
        <f aca="true" t="shared" si="316" ref="CZ133:CZ138">IF(CW133=0,0,CY133/CW133)</f>
        <v>0</v>
      </c>
      <c r="DA133" s="52" t="e">
        <f>DA134+DA135</f>
        <v>#REF!</v>
      </c>
      <c r="DB133" s="84">
        <f>DB134+DB135</f>
        <v>0</v>
      </c>
      <c r="DC133" s="52" t="e">
        <f>DC134+DC135</f>
        <v>#REF!</v>
      </c>
      <c r="DD133" s="52" t="e">
        <f aca="true" t="shared" si="317" ref="DD133:DD138">DC133-DB133</f>
        <v>#REF!</v>
      </c>
      <c r="DE133" s="113">
        <f aca="true" t="shared" si="318" ref="DE133:DE138">IF(DB133=0,0,DD133/DB133)</f>
        <v>0</v>
      </c>
    </row>
    <row r="134" spans="1:109" ht="15.75" hidden="1">
      <c r="A134" s="98" t="s">
        <v>175</v>
      </c>
      <c r="B134" s="35" t="s">
        <v>176</v>
      </c>
      <c r="C134" s="10" t="s">
        <v>174</v>
      </c>
      <c r="D134" s="17"/>
      <c r="E134" s="17"/>
      <c r="F134" s="17"/>
      <c r="G134" s="17"/>
      <c r="H134" s="17"/>
      <c r="I134" s="17"/>
      <c r="J134" s="17"/>
      <c r="K134" s="52">
        <f t="shared" si="221"/>
        <v>0</v>
      </c>
      <c r="L134" s="109">
        <f aca="true" t="shared" si="319" ref="L134:L184">IF(I134=0,0,K134/I134)</f>
        <v>0</v>
      </c>
      <c r="M134" s="117"/>
      <c r="N134" s="17"/>
      <c r="O134" s="17"/>
      <c r="P134" s="17"/>
      <c r="Q134" s="17"/>
      <c r="R134" s="17"/>
      <c r="S134" s="17"/>
      <c r="T134" s="52">
        <f t="shared" si="295"/>
        <v>0</v>
      </c>
      <c r="U134" s="109">
        <f t="shared" si="296"/>
        <v>0</v>
      </c>
      <c r="V134" s="17"/>
      <c r="W134" s="17"/>
      <c r="X134" s="17"/>
      <c r="Y134" s="17"/>
      <c r="Z134" s="17"/>
      <c r="AA134" s="17"/>
      <c r="AB134" s="17"/>
      <c r="AC134" s="52">
        <f t="shared" si="297"/>
        <v>0</v>
      </c>
      <c r="AD134" s="109">
        <f t="shared" si="298"/>
        <v>0</v>
      </c>
      <c r="AE134" s="17"/>
      <c r="AF134" s="17"/>
      <c r="AG134" s="17"/>
      <c r="AH134" s="17"/>
      <c r="AI134" s="17"/>
      <c r="AJ134" s="17"/>
      <c r="AK134" s="17"/>
      <c r="AL134" s="52">
        <f t="shared" si="299"/>
        <v>0</v>
      </c>
      <c r="AM134" s="109">
        <f t="shared" si="300"/>
        <v>0</v>
      </c>
      <c r="AN134" s="17"/>
      <c r="AO134" s="17"/>
      <c r="AP134" s="17"/>
      <c r="AQ134" s="17"/>
      <c r="AR134" s="17"/>
      <c r="AS134" s="17"/>
      <c r="AT134" s="17"/>
      <c r="AU134" s="52">
        <f t="shared" si="301"/>
        <v>0</v>
      </c>
      <c r="AV134" s="109">
        <f t="shared" si="302"/>
        <v>0</v>
      </c>
      <c r="AW134" s="17"/>
      <c r="AX134" s="17"/>
      <c r="AY134" s="17"/>
      <c r="AZ134" s="17"/>
      <c r="BA134" s="17"/>
      <c r="BB134" s="17"/>
      <c r="BC134" s="52">
        <f t="shared" si="303"/>
        <v>0</v>
      </c>
      <c r="BD134" s="109">
        <f t="shared" si="304"/>
        <v>0</v>
      </c>
      <c r="BE134" s="17"/>
      <c r="BF134" s="17"/>
      <c r="BG134" s="17"/>
      <c r="BH134" s="17"/>
      <c r="BI134" s="17"/>
      <c r="BJ134" s="17"/>
      <c r="BK134" s="52">
        <f t="shared" si="305"/>
        <v>0</v>
      </c>
      <c r="BL134" s="109">
        <f t="shared" si="306"/>
        <v>0</v>
      </c>
      <c r="BM134" s="17"/>
      <c r="BN134" s="17"/>
      <c r="BO134" s="17"/>
      <c r="BP134" s="17"/>
      <c r="BQ134" s="17"/>
      <c r="BR134" s="17"/>
      <c r="BS134" s="52">
        <f t="shared" si="307"/>
        <v>0</v>
      </c>
      <c r="BT134" s="109">
        <f t="shared" si="308"/>
        <v>0</v>
      </c>
      <c r="BU134" s="17"/>
      <c r="BV134" s="17"/>
      <c r="BW134" s="17"/>
      <c r="BX134" s="17"/>
      <c r="BY134" s="17"/>
      <c r="BZ134" s="17"/>
      <c r="CA134" s="52">
        <f t="shared" si="309"/>
        <v>0</v>
      </c>
      <c r="CB134" s="109">
        <f t="shared" si="310"/>
        <v>0</v>
      </c>
      <c r="CC134" s="17"/>
      <c r="CD134" s="17"/>
      <c r="CE134" s="17"/>
      <c r="CF134" s="17"/>
      <c r="CG134" s="17"/>
      <c r="CH134" s="141"/>
      <c r="CI134" s="52">
        <f t="shared" si="311"/>
        <v>0</v>
      </c>
      <c r="CJ134" s="109">
        <f t="shared" si="312"/>
        <v>0</v>
      </c>
      <c r="CK134" s="17"/>
      <c r="CL134" s="17"/>
      <c r="CM134" s="17"/>
      <c r="CN134" s="17"/>
      <c r="CO134" s="17"/>
      <c r="CP134" s="17"/>
      <c r="CQ134" s="52">
        <f t="shared" si="313"/>
        <v>0</v>
      </c>
      <c r="CR134" s="109">
        <f t="shared" si="314"/>
        <v>0</v>
      </c>
      <c r="CS134" s="17"/>
      <c r="CT134" s="17"/>
      <c r="CU134" s="17"/>
      <c r="CV134" s="17"/>
      <c r="CW134" s="17"/>
      <c r="CX134" s="17"/>
      <c r="CY134" s="52">
        <f t="shared" si="315"/>
        <v>0</v>
      </c>
      <c r="CZ134" s="109">
        <f t="shared" si="316"/>
        <v>0</v>
      </c>
      <c r="DA134" s="50" t="e">
        <f>J134+IF(#REF!&gt;=2,S134,0)+IF(#REF!&gt;=3,AB134,0)+IF(#REF!&gt;=4,AK134,0)+IF(#REF!&gt;=5,AT134,0)+IF(#REF!&gt;=6,BB134,0)+IF(#REF!&gt;=7,BJ134,0)+IF(#REF!&gt;=8,BR134,0)+IF(#REF!&gt;=9,BZ134,0)+IF(#REF!&gt;=10,CH134,0)+IF(#REF!&gt;=11,CP134,0)+IF(#REF!&gt;=12,CX134,0)</f>
        <v>#REF!</v>
      </c>
      <c r="DB134" s="84">
        <f>I134+R134+AA134+AJ134+AS134+BA134+BI134+BQ134+BY134+CG134+CO134+CW134</f>
        <v>0</v>
      </c>
      <c r="DC134" s="106" t="e">
        <f>IF(#REF!&gt;=1,J134,I134)+IF(#REF!&gt;=2,S134,R134)+IF(#REF!&gt;=3,AB134,AA134)+IF(#REF!&gt;=4,AK134,AJ134)+IF(#REF!&gt;=5,AT134,AS134)+IF(#REF!&gt;=6,BB134,BA134)+IF(#REF!&gt;=7,BJ134,BI134)+IF(#REF!&gt;=8,BR134,BQ134)+IF(#REF!&gt;=9,BZ134,BY134)+IF(#REF!&gt;=10,CH134,CG134)+IF(#REF!&gt;=11,CP134,CO134)+IF(#REF!&gt;=12,CX134,CW134)</f>
        <v>#REF!</v>
      </c>
      <c r="DD134" s="52" t="e">
        <f t="shared" si="317"/>
        <v>#REF!</v>
      </c>
      <c r="DE134" s="113">
        <f t="shared" si="318"/>
        <v>0</v>
      </c>
    </row>
    <row r="135" spans="1:109" ht="15.75" hidden="1">
      <c r="A135" s="98" t="s">
        <v>177</v>
      </c>
      <c r="B135" s="35" t="s">
        <v>178</v>
      </c>
      <c r="C135" s="10" t="s">
        <v>174</v>
      </c>
      <c r="D135" s="39"/>
      <c r="E135" s="39"/>
      <c r="F135" s="39"/>
      <c r="G135" s="39"/>
      <c r="H135" s="39"/>
      <c r="I135" s="39"/>
      <c r="J135" s="39"/>
      <c r="K135" s="56">
        <f t="shared" si="221"/>
        <v>0</v>
      </c>
      <c r="L135" s="111">
        <f t="shared" si="319"/>
        <v>0</v>
      </c>
      <c r="M135" s="52"/>
      <c r="N135" s="39"/>
      <c r="O135" s="39"/>
      <c r="P135" s="39"/>
      <c r="Q135" s="39"/>
      <c r="R135" s="39"/>
      <c r="S135" s="39"/>
      <c r="T135" s="56">
        <f t="shared" si="295"/>
        <v>0</v>
      </c>
      <c r="U135" s="111">
        <f t="shared" si="296"/>
        <v>0</v>
      </c>
      <c r="V135" s="39"/>
      <c r="W135" s="39"/>
      <c r="X135" s="39"/>
      <c r="Y135" s="39"/>
      <c r="Z135" s="39"/>
      <c r="AA135" s="39"/>
      <c r="AB135" s="39"/>
      <c r="AC135" s="56">
        <f t="shared" si="297"/>
        <v>0</v>
      </c>
      <c r="AD135" s="111">
        <f t="shared" si="298"/>
        <v>0</v>
      </c>
      <c r="AE135" s="39"/>
      <c r="AF135" s="39"/>
      <c r="AG135" s="39"/>
      <c r="AH135" s="39"/>
      <c r="AI135" s="39"/>
      <c r="AJ135" s="39"/>
      <c r="AK135" s="39"/>
      <c r="AL135" s="56">
        <f t="shared" si="299"/>
        <v>0</v>
      </c>
      <c r="AM135" s="111">
        <f t="shared" si="300"/>
        <v>0</v>
      </c>
      <c r="AN135" s="39"/>
      <c r="AO135" s="39"/>
      <c r="AP135" s="39"/>
      <c r="AQ135" s="39"/>
      <c r="AR135" s="39"/>
      <c r="AS135" s="39"/>
      <c r="AT135" s="39"/>
      <c r="AU135" s="56">
        <f t="shared" si="301"/>
        <v>0</v>
      </c>
      <c r="AV135" s="111">
        <f t="shared" si="302"/>
        <v>0</v>
      </c>
      <c r="AW135" s="39"/>
      <c r="AX135" s="39"/>
      <c r="AY135" s="39"/>
      <c r="AZ135" s="39"/>
      <c r="BA135" s="39"/>
      <c r="BB135" s="39"/>
      <c r="BC135" s="56">
        <f t="shared" si="303"/>
        <v>0</v>
      </c>
      <c r="BD135" s="111">
        <f t="shared" si="304"/>
        <v>0</v>
      </c>
      <c r="BE135" s="39"/>
      <c r="BF135" s="39"/>
      <c r="BG135" s="39"/>
      <c r="BH135" s="39"/>
      <c r="BI135" s="39"/>
      <c r="BJ135" s="39"/>
      <c r="BK135" s="56">
        <f t="shared" si="305"/>
        <v>0</v>
      </c>
      <c r="BL135" s="111">
        <f t="shared" si="306"/>
        <v>0</v>
      </c>
      <c r="BM135" s="39"/>
      <c r="BN135" s="39"/>
      <c r="BO135" s="39"/>
      <c r="BP135" s="39"/>
      <c r="BQ135" s="39"/>
      <c r="BR135" s="39"/>
      <c r="BS135" s="56">
        <f t="shared" si="307"/>
        <v>0</v>
      </c>
      <c r="BT135" s="111">
        <f t="shared" si="308"/>
        <v>0</v>
      </c>
      <c r="BU135" s="39"/>
      <c r="BV135" s="39"/>
      <c r="BW135" s="39"/>
      <c r="BX135" s="39"/>
      <c r="BY135" s="39"/>
      <c r="BZ135" s="39"/>
      <c r="CA135" s="56">
        <f t="shared" si="309"/>
        <v>0</v>
      </c>
      <c r="CB135" s="111">
        <f t="shared" si="310"/>
        <v>0</v>
      </c>
      <c r="CC135" s="39"/>
      <c r="CD135" s="39"/>
      <c r="CE135" s="39"/>
      <c r="CF135" s="39"/>
      <c r="CG135" s="39"/>
      <c r="CH135" s="183"/>
      <c r="CI135" s="56">
        <f t="shared" si="311"/>
        <v>0</v>
      </c>
      <c r="CJ135" s="111">
        <f t="shared" si="312"/>
        <v>0</v>
      </c>
      <c r="CK135" s="39"/>
      <c r="CL135" s="39"/>
      <c r="CM135" s="39"/>
      <c r="CN135" s="39"/>
      <c r="CO135" s="39"/>
      <c r="CP135" s="39"/>
      <c r="CQ135" s="56">
        <f t="shared" si="313"/>
        <v>0</v>
      </c>
      <c r="CR135" s="111">
        <f t="shared" si="314"/>
        <v>0</v>
      </c>
      <c r="CS135" s="39"/>
      <c r="CT135" s="39"/>
      <c r="CU135" s="39"/>
      <c r="CV135" s="39"/>
      <c r="CW135" s="39"/>
      <c r="CX135" s="39"/>
      <c r="CY135" s="56">
        <f t="shared" si="315"/>
        <v>0</v>
      </c>
      <c r="CZ135" s="111">
        <f t="shared" si="316"/>
        <v>0</v>
      </c>
      <c r="DA135" s="50" t="e">
        <f>J135+IF(#REF!&gt;=2,S135,0)+IF(#REF!&gt;=3,AB135,0)+IF(#REF!&gt;=4,AK135,0)+IF(#REF!&gt;=5,AT135,0)+IF(#REF!&gt;=6,BB135,0)+IF(#REF!&gt;=7,BJ135,0)+IF(#REF!&gt;=8,BR135,0)+IF(#REF!&gt;=9,BZ135,0)+IF(#REF!&gt;=10,CH135,0)+IF(#REF!&gt;=11,CP135,0)+IF(#REF!&gt;=12,CX135,0)</f>
        <v>#REF!</v>
      </c>
      <c r="DB135" s="84">
        <f>I135+R135+AA135+AJ135+AS135+BA135+BI135+BQ135+BY135+CG135+CO135+CW135</f>
        <v>0</v>
      </c>
      <c r="DC135" s="106" t="e">
        <f>IF(#REF!&gt;=1,J135,I135)+IF(#REF!&gt;=2,S135,R135)+IF(#REF!&gt;=3,AB135,AA135)+IF(#REF!&gt;=4,AK135,AJ135)+IF(#REF!&gt;=5,AT135,AS135)+IF(#REF!&gt;=6,BB135,BA135)+IF(#REF!&gt;=7,BJ135,BI135)+IF(#REF!&gt;=8,BR135,BQ135)+IF(#REF!&gt;=9,BZ135,BY135)+IF(#REF!&gt;=10,CH135,CG135)+IF(#REF!&gt;=11,CP135,CO135)+IF(#REF!&gt;=12,CX135,CW135)</f>
        <v>#REF!</v>
      </c>
      <c r="DD135" s="56" t="e">
        <f t="shared" si="317"/>
        <v>#REF!</v>
      </c>
      <c r="DE135" s="115">
        <f t="shared" si="318"/>
        <v>0</v>
      </c>
    </row>
    <row r="136" spans="1:109" ht="15.75" hidden="1">
      <c r="A136" s="98" t="s">
        <v>179</v>
      </c>
      <c r="B136" s="35" t="s">
        <v>180</v>
      </c>
      <c r="C136" s="10" t="s">
        <v>174</v>
      </c>
      <c r="D136" s="52">
        <f>D137+D138</f>
        <v>0</v>
      </c>
      <c r="E136" s="52">
        <f>E137+E138</f>
        <v>0</v>
      </c>
      <c r="F136" s="52"/>
      <c r="G136" s="52"/>
      <c r="H136" s="52"/>
      <c r="I136" s="52">
        <f>I137+I138</f>
        <v>0</v>
      </c>
      <c r="J136" s="52">
        <f>J137+J138</f>
        <v>0</v>
      </c>
      <c r="K136" s="52">
        <f t="shared" si="221"/>
        <v>0</v>
      </c>
      <c r="L136" s="109">
        <f t="shared" si="319"/>
        <v>0</v>
      </c>
      <c r="M136" s="52">
        <f>M137+M138</f>
        <v>0</v>
      </c>
      <c r="N136" s="52">
        <f>N137+N138</f>
        <v>0</v>
      </c>
      <c r="O136" s="52"/>
      <c r="P136" s="52"/>
      <c r="Q136" s="52"/>
      <c r="R136" s="52">
        <f>R137+R138</f>
        <v>0</v>
      </c>
      <c r="S136" s="52">
        <f>S137+S138</f>
        <v>0</v>
      </c>
      <c r="T136" s="52">
        <f t="shared" si="295"/>
        <v>0</v>
      </c>
      <c r="U136" s="109">
        <f t="shared" si="296"/>
        <v>0</v>
      </c>
      <c r="V136" s="52">
        <f>V137+V138</f>
        <v>0</v>
      </c>
      <c r="W136" s="52">
        <f>W137+W138</f>
        <v>0</v>
      </c>
      <c r="X136" s="52"/>
      <c r="Y136" s="52"/>
      <c r="Z136" s="52"/>
      <c r="AA136" s="52">
        <f>AA137+AA138</f>
        <v>0</v>
      </c>
      <c r="AB136" s="52">
        <f>AB137+AB138</f>
        <v>0</v>
      </c>
      <c r="AC136" s="52">
        <f t="shared" si="297"/>
        <v>0</v>
      </c>
      <c r="AD136" s="109">
        <f t="shared" si="298"/>
        <v>0</v>
      </c>
      <c r="AE136" s="52">
        <f>AE137+AE138</f>
        <v>0</v>
      </c>
      <c r="AF136" s="52">
        <f>AF137+AF138</f>
        <v>0</v>
      </c>
      <c r="AG136" s="52"/>
      <c r="AH136" s="52"/>
      <c r="AI136" s="52"/>
      <c r="AJ136" s="52">
        <f>AJ137+AJ138</f>
        <v>0</v>
      </c>
      <c r="AK136" s="52">
        <f>AK137+AK138</f>
        <v>0</v>
      </c>
      <c r="AL136" s="52">
        <f t="shared" si="299"/>
        <v>0</v>
      </c>
      <c r="AM136" s="109">
        <f t="shared" si="300"/>
        <v>0</v>
      </c>
      <c r="AN136" s="52">
        <f>AN137+AN138</f>
        <v>0</v>
      </c>
      <c r="AO136" s="52">
        <f>AO137+AO138</f>
        <v>0</v>
      </c>
      <c r="AP136" s="52"/>
      <c r="AQ136" s="52"/>
      <c r="AR136" s="52"/>
      <c r="AS136" s="52">
        <f>AS137+AS138</f>
        <v>0</v>
      </c>
      <c r="AT136" s="52">
        <f>AT137+AT138</f>
        <v>0</v>
      </c>
      <c r="AU136" s="52">
        <f t="shared" si="301"/>
        <v>0</v>
      </c>
      <c r="AV136" s="109">
        <f t="shared" si="302"/>
        <v>0</v>
      </c>
      <c r="AW136" s="52">
        <f>AW137+AW138</f>
        <v>0</v>
      </c>
      <c r="AX136" s="52">
        <f>AX137+AX138</f>
        <v>0</v>
      </c>
      <c r="AY136" s="52"/>
      <c r="AZ136" s="52"/>
      <c r="BA136" s="52">
        <f>BA137+BA138</f>
        <v>0</v>
      </c>
      <c r="BB136" s="52">
        <f>BB137+BB138</f>
        <v>0</v>
      </c>
      <c r="BC136" s="52">
        <f t="shared" si="303"/>
        <v>0</v>
      </c>
      <c r="BD136" s="109">
        <f t="shared" si="304"/>
        <v>0</v>
      </c>
      <c r="BE136" s="52">
        <f>BE137+BE138</f>
        <v>0</v>
      </c>
      <c r="BF136" s="52"/>
      <c r="BG136" s="52">
        <f>BG137+BG138</f>
        <v>0</v>
      </c>
      <c r="BH136" s="52"/>
      <c r="BI136" s="52">
        <f>BI137+BI138</f>
        <v>0</v>
      </c>
      <c r="BJ136" s="52">
        <f>BJ137+BJ138</f>
        <v>0</v>
      </c>
      <c r="BK136" s="52">
        <f t="shared" si="305"/>
        <v>0</v>
      </c>
      <c r="BL136" s="109">
        <f t="shared" si="306"/>
        <v>0</v>
      </c>
      <c r="BM136" s="52">
        <f>BM137+BM138</f>
        <v>0</v>
      </c>
      <c r="BN136" s="52">
        <f>BN137+BN138</f>
        <v>0</v>
      </c>
      <c r="BO136" s="52"/>
      <c r="BP136" s="52"/>
      <c r="BQ136" s="52">
        <f>BQ137+BQ138</f>
        <v>0</v>
      </c>
      <c r="BR136" s="52">
        <f>BR137+BR138</f>
        <v>0</v>
      </c>
      <c r="BS136" s="52">
        <f t="shared" si="307"/>
        <v>0</v>
      </c>
      <c r="BT136" s="109">
        <f t="shared" si="308"/>
        <v>0</v>
      </c>
      <c r="BU136" s="52">
        <f>BU137+BU138</f>
        <v>0</v>
      </c>
      <c r="BV136" s="52">
        <f>BV137+BV138</f>
        <v>0</v>
      </c>
      <c r="BW136" s="52"/>
      <c r="BX136" s="52"/>
      <c r="BY136" s="52">
        <f>BY137+BY138</f>
        <v>0</v>
      </c>
      <c r="BZ136" s="52">
        <f>BZ137+BZ138</f>
        <v>0</v>
      </c>
      <c r="CA136" s="52">
        <f t="shared" si="309"/>
        <v>0</v>
      </c>
      <c r="CB136" s="109">
        <f t="shared" si="310"/>
        <v>0</v>
      </c>
      <c r="CC136" s="52">
        <f>CC137+CC138</f>
        <v>0</v>
      </c>
      <c r="CD136" s="52">
        <f>CD137+CD138</f>
        <v>0</v>
      </c>
      <c r="CE136" s="52"/>
      <c r="CF136" s="52"/>
      <c r="CG136" s="52">
        <f>CG137+CG138</f>
        <v>0</v>
      </c>
      <c r="CH136" s="152">
        <f>CH137+CH138</f>
        <v>0</v>
      </c>
      <c r="CI136" s="52">
        <f t="shared" si="311"/>
        <v>0</v>
      </c>
      <c r="CJ136" s="109">
        <f t="shared" si="312"/>
        <v>0</v>
      </c>
      <c r="CK136" s="52">
        <f>CK137+CK138</f>
        <v>0</v>
      </c>
      <c r="CL136" s="52">
        <f>CL137+CL138</f>
        <v>0</v>
      </c>
      <c r="CM136" s="52"/>
      <c r="CN136" s="52"/>
      <c r="CO136" s="52">
        <f>CO137+CO138</f>
        <v>0</v>
      </c>
      <c r="CP136" s="52">
        <f>CP137+CP138</f>
        <v>0</v>
      </c>
      <c r="CQ136" s="52">
        <f t="shared" si="313"/>
        <v>0</v>
      </c>
      <c r="CR136" s="109">
        <f t="shared" si="314"/>
        <v>0</v>
      </c>
      <c r="CS136" s="52">
        <f>CS137+CS138</f>
        <v>0</v>
      </c>
      <c r="CT136" s="52">
        <f>CT137+CT138</f>
        <v>0</v>
      </c>
      <c r="CU136" s="52"/>
      <c r="CV136" s="52"/>
      <c r="CW136" s="52">
        <f>CW137+CW138</f>
        <v>0</v>
      </c>
      <c r="CX136" s="52">
        <f>CX137+CX138</f>
        <v>0</v>
      </c>
      <c r="CY136" s="52">
        <f t="shared" si="315"/>
        <v>0</v>
      </c>
      <c r="CZ136" s="109">
        <f t="shared" si="316"/>
        <v>0</v>
      </c>
      <c r="DA136" s="52" t="e">
        <f>DA137+DA138</f>
        <v>#REF!</v>
      </c>
      <c r="DB136" s="84">
        <f>DB137+DB138</f>
        <v>0</v>
      </c>
      <c r="DC136" s="52" t="e">
        <f>DC137+DC138</f>
        <v>#REF!</v>
      </c>
      <c r="DD136" s="52" t="e">
        <f t="shared" si="317"/>
        <v>#REF!</v>
      </c>
      <c r="DE136" s="113">
        <f t="shared" si="318"/>
        <v>0</v>
      </c>
    </row>
    <row r="137" spans="1:109" ht="15.75" hidden="1">
      <c r="A137" s="98" t="s">
        <v>181</v>
      </c>
      <c r="B137" s="35" t="s">
        <v>44</v>
      </c>
      <c r="C137" s="10" t="s">
        <v>174</v>
      </c>
      <c r="D137" s="17"/>
      <c r="E137" s="17"/>
      <c r="F137" s="17"/>
      <c r="G137" s="17"/>
      <c r="H137" s="17"/>
      <c r="I137" s="17"/>
      <c r="J137" s="17"/>
      <c r="K137" s="52">
        <f t="shared" si="221"/>
        <v>0</v>
      </c>
      <c r="L137" s="109">
        <f t="shared" si="319"/>
        <v>0</v>
      </c>
      <c r="M137" s="51"/>
      <c r="N137" s="17"/>
      <c r="O137" s="17"/>
      <c r="P137" s="17"/>
      <c r="Q137" s="17"/>
      <c r="R137" s="17"/>
      <c r="S137" s="17"/>
      <c r="T137" s="52">
        <f t="shared" si="295"/>
        <v>0</v>
      </c>
      <c r="U137" s="109">
        <f t="shared" si="296"/>
        <v>0</v>
      </c>
      <c r="V137" s="17"/>
      <c r="W137" s="17"/>
      <c r="X137" s="17"/>
      <c r="Y137" s="17"/>
      <c r="Z137" s="17"/>
      <c r="AA137" s="17"/>
      <c r="AB137" s="17"/>
      <c r="AC137" s="52">
        <f t="shared" si="297"/>
        <v>0</v>
      </c>
      <c r="AD137" s="109">
        <f t="shared" si="298"/>
        <v>0</v>
      </c>
      <c r="AE137" s="17"/>
      <c r="AF137" s="17"/>
      <c r="AG137" s="17"/>
      <c r="AH137" s="17"/>
      <c r="AI137" s="17"/>
      <c r="AJ137" s="17"/>
      <c r="AK137" s="17"/>
      <c r="AL137" s="52">
        <f t="shared" si="299"/>
        <v>0</v>
      </c>
      <c r="AM137" s="109">
        <f t="shared" si="300"/>
        <v>0</v>
      </c>
      <c r="AN137" s="17"/>
      <c r="AO137" s="17"/>
      <c r="AP137" s="17"/>
      <c r="AQ137" s="17"/>
      <c r="AR137" s="17"/>
      <c r="AS137" s="17"/>
      <c r="AT137" s="17"/>
      <c r="AU137" s="52">
        <f t="shared" si="301"/>
        <v>0</v>
      </c>
      <c r="AV137" s="109">
        <f t="shared" si="302"/>
        <v>0</v>
      </c>
      <c r="AW137" s="17"/>
      <c r="AX137" s="17"/>
      <c r="AY137" s="17"/>
      <c r="AZ137" s="17"/>
      <c r="BA137" s="17"/>
      <c r="BB137" s="17"/>
      <c r="BC137" s="52">
        <f t="shared" si="303"/>
        <v>0</v>
      </c>
      <c r="BD137" s="109">
        <f t="shared" si="304"/>
        <v>0</v>
      </c>
      <c r="BE137" s="17"/>
      <c r="BF137" s="17"/>
      <c r="BG137" s="17"/>
      <c r="BH137" s="17"/>
      <c r="BI137" s="17"/>
      <c r="BJ137" s="17"/>
      <c r="BK137" s="52">
        <f t="shared" si="305"/>
        <v>0</v>
      </c>
      <c r="BL137" s="109">
        <f t="shared" si="306"/>
        <v>0</v>
      </c>
      <c r="BM137" s="17"/>
      <c r="BN137" s="17"/>
      <c r="BO137" s="17"/>
      <c r="BP137" s="17"/>
      <c r="BQ137" s="17"/>
      <c r="BR137" s="17"/>
      <c r="BS137" s="52">
        <f t="shared" si="307"/>
        <v>0</v>
      </c>
      <c r="BT137" s="109">
        <f t="shared" si="308"/>
        <v>0</v>
      </c>
      <c r="BU137" s="17"/>
      <c r="BV137" s="17"/>
      <c r="BW137" s="17"/>
      <c r="BX137" s="17"/>
      <c r="BY137" s="17"/>
      <c r="BZ137" s="17"/>
      <c r="CA137" s="52">
        <f t="shared" si="309"/>
        <v>0</v>
      </c>
      <c r="CB137" s="109">
        <f t="shared" si="310"/>
        <v>0</v>
      </c>
      <c r="CC137" s="17"/>
      <c r="CD137" s="17"/>
      <c r="CE137" s="17"/>
      <c r="CF137" s="17"/>
      <c r="CG137" s="17"/>
      <c r="CH137" s="141"/>
      <c r="CI137" s="52">
        <f t="shared" si="311"/>
        <v>0</v>
      </c>
      <c r="CJ137" s="109">
        <f t="shared" si="312"/>
        <v>0</v>
      </c>
      <c r="CK137" s="17"/>
      <c r="CL137" s="17"/>
      <c r="CM137" s="17"/>
      <c r="CN137" s="17"/>
      <c r="CO137" s="17"/>
      <c r="CP137" s="17"/>
      <c r="CQ137" s="52">
        <f t="shared" si="313"/>
        <v>0</v>
      </c>
      <c r="CR137" s="109">
        <f t="shared" si="314"/>
        <v>0</v>
      </c>
      <c r="CS137" s="17"/>
      <c r="CT137" s="17"/>
      <c r="CU137" s="17"/>
      <c r="CV137" s="17"/>
      <c r="CW137" s="17"/>
      <c r="CX137" s="17"/>
      <c r="CY137" s="52">
        <f t="shared" si="315"/>
        <v>0</v>
      </c>
      <c r="CZ137" s="109">
        <f t="shared" si="316"/>
        <v>0</v>
      </c>
      <c r="DA137" s="50" t="e">
        <f>J137+IF(#REF!&gt;=2,S137,0)+IF(#REF!&gt;=3,AB137,0)+IF(#REF!&gt;=4,AK137,0)+IF(#REF!&gt;=5,AT137,0)+IF(#REF!&gt;=6,BB137,0)+IF(#REF!&gt;=7,BJ137,0)+IF(#REF!&gt;=8,BR137,0)+IF(#REF!&gt;=9,BZ137,0)+IF(#REF!&gt;=10,CH137,0)+IF(#REF!&gt;=11,CP137,0)+IF(#REF!&gt;=12,CX137,0)</f>
        <v>#REF!</v>
      </c>
      <c r="DB137" s="84">
        <f>I137+R137+AA137+AJ137+AS137+BA137+BI137+BQ137+BY137+CG137+CO137+CW137</f>
        <v>0</v>
      </c>
      <c r="DC137" s="106" t="e">
        <f>IF(#REF!&gt;=1,J137,I137)+IF(#REF!&gt;=2,S137,R137)+IF(#REF!&gt;=3,AB137,AA137)+IF(#REF!&gt;=4,AK137,AJ137)+IF(#REF!&gt;=5,AT137,AS137)+IF(#REF!&gt;=6,BB137,BA137)+IF(#REF!&gt;=7,BJ137,BI137)+IF(#REF!&gt;=8,BR137,BQ137)+IF(#REF!&gt;=9,BZ137,BY137)+IF(#REF!&gt;=10,CH137,CG137)+IF(#REF!&gt;=11,CP137,CO137)+IF(#REF!&gt;=12,CX137,CW137)</f>
        <v>#REF!</v>
      </c>
      <c r="DD137" s="52" t="e">
        <f t="shared" si="317"/>
        <v>#REF!</v>
      </c>
      <c r="DE137" s="113">
        <f t="shared" si="318"/>
        <v>0</v>
      </c>
    </row>
    <row r="138" spans="1:109" ht="15.75" hidden="1">
      <c r="A138" s="98" t="s">
        <v>182</v>
      </c>
      <c r="B138" s="35" t="s">
        <v>46</v>
      </c>
      <c r="C138" s="10" t="s">
        <v>174</v>
      </c>
      <c r="D138" s="17"/>
      <c r="E138" s="17"/>
      <c r="F138" s="17"/>
      <c r="G138" s="17"/>
      <c r="H138" s="17"/>
      <c r="I138" s="17"/>
      <c r="J138" s="17"/>
      <c r="K138" s="52">
        <f t="shared" si="221"/>
        <v>0</v>
      </c>
      <c r="L138" s="109">
        <f t="shared" si="319"/>
        <v>0</v>
      </c>
      <c r="M138" s="52"/>
      <c r="N138" s="17"/>
      <c r="O138" s="17"/>
      <c r="P138" s="17"/>
      <c r="Q138" s="17"/>
      <c r="R138" s="17"/>
      <c r="S138" s="17"/>
      <c r="T138" s="52">
        <f t="shared" si="295"/>
        <v>0</v>
      </c>
      <c r="U138" s="109">
        <f t="shared" si="296"/>
        <v>0</v>
      </c>
      <c r="V138" s="17"/>
      <c r="W138" s="17"/>
      <c r="X138" s="17"/>
      <c r="Y138" s="17"/>
      <c r="Z138" s="17"/>
      <c r="AA138" s="17"/>
      <c r="AB138" s="17"/>
      <c r="AC138" s="52">
        <f t="shared" si="297"/>
        <v>0</v>
      </c>
      <c r="AD138" s="109">
        <f t="shared" si="298"/>
        <v>0</v>
      </c>
      <c r="AE138" s="17"/>
      <c r="AF138" s="17"/>
      <c r="AG138" s="17"/>
      <c r="AH138" s="17"/>
      <c r="AI138" s="17"/>
      <c r="AJ138" s="17"/>
      <c r="AK138" s="17"/>
      <c r="AL138" s="52">
        <f t="shared" si="299"/>
        <v>0</v>
      </c>
      <c r="AM138" s="109">
        <f t="shared" si="300"/>
        <v>0</v>
      </c>
      <c r="AN138" s="17"/>
      <c r="AO138" s="17"/>
      <c r="AP138" s="17"/>
      <c r="AQ138" s="17"/>
      <c r="AR138" s="17"/>
      <c r="AS138" s="17"/>
      <c r="AT138" s="17"/>
      <c r="AU138" s="52">
        <f t="shared" si="301"/>
        <v>0</v>
      </c>
      <c r="AV138" s="109">
        <f t="shared" si="302"/>
        <v>0</v>
      </c>
      <c r="AW138" s="17"/>
      <c r="AX138" s="17"/>
      <c r="AY138" s="17"/>
      <c r="AZ138" s="17"/>
      <c r="BA138" s="17"/>
      <c r="BB138" s="17"/>
      <c r="BC138" s="52">
        <f t="shared" si="303"/>
        <v>0</v>
      </c>
      <c r="BD138" s="109">
        <f t="shared" si="304"/>
        <v>0</v>
      </c>
      <c r="BE138" s="17"/>
      <c r="BF138" s="17"/>
      <c r="BG138" s="17"/>
      <c r="BH138" s="17"/>
      <c r="BI138" s="17"/>
      <c r="BJ138" s="17"/>
      <c r="BK138" s="52">
        <f t="shared" si="305"/>
        <v>0</v>
      </c>
      <c r="BL138" s="109">
        <f t="shared" si="306"/>
        <v>0</v>
      </c>
      <c r="BM138" s="17"/>
      <c r="BN138" s="17"/>
      <c r="BO138" s="17"/>
      <c r="BP138" s="17"/>
      <c r="BQ138" s="17"/>
      <c r="BR138" s="17"/>
      <c r="BS138" s="52">
        <f t="shared" si="307"/>
        <v>0</v>
      </c>
      <c r="BT138" s="109">
        <f t="shared" si="308"/>
        <v>0</v>
      </c>
      <c r="BU138" s="17"/>
      <c r="BV138" s="17"/>
      <c r="BW138" s="17"/>
      <c r="BX138" s="17"/>
      <c r="BY138" s="17"/>
      <c r="BZ138" s="17"/>
      <c r="CA138" s="52">
        <f t="shared" si="309"/>
        <v>0</v>
      </c>
      <c r="CB138" s="109">
        <f t="shared" si="310"/>
        <v>0</v>
      </c>
      <c r="CC138" s="17"/>
      <c r="CD138" s="17"/>
      <c r="CE138" s="17"/>
      <c r="CF138" s="17"/>
      <c r="CG138" s="17"/>
      <c r="CH138" s="141"/>
      <c r="CI138" s="52">
        <f t="shared" si="311"/>
        <v>0</v>
      </c>
      <c r="CJ138" s="109">
        <f t="shared" si="312"/>
        <v>0</v>
      </c>
      <c r="CK138" s="17"/>
      <c r="CL138" s="17"/>
      <c r="CM138" s="17"/>
      <c r="CN138" s="17"/>
      <c r="CO138" s="17"/>
      <c r="CP138" s="17"/>
      <c r="CQ138" s="52">
        <f t="shared" si="313"/>
        <v>0</v>
      </c>
      <c r="CR138" s="109">
        <f t="shared" si="314"/>
        <v>0</v>
      </c>
      <c r="CS138" s="17"/>
      <c r="CT138" s="17"/>
      <c r="CU138" s="17"/>
      <c r="CV138" s="17"/>
      <c r="CW138" s="17"/>
      <c r="CX138" s="17"/>
      <c r="CY138" s="52">
        <f t="shared" si="315"/>
        <v>0</v>
      </c>
      <c r="CZ138" s="109">
        <f t="shared" si="316"/>
        <v>0</v>
      </c>
      <c r="DA138" s="50" t="e">
        <f>J138+IF(#REF!&gt;=2,S138,0)+IF(#REF!&gt;=3,AB138,0)+IF(#REF!&gt;=4,AK138,0)+IF(#REF!&gt;=5,AT138,0)+IF(#REF!&gt;=6,BB138,0)+IF(#REF!&gt;=7,BJ138,0)+IF(#REF!&gt;=8,BR138,0)+IF(#REF!&gt;=9,BZ138,0)+IF(#REF!&gt;=10,CH138,0)+IF(#REF!&gt;=11,CP138,0)+IF(#REF!&gt;=12,CX138,0)</f>
        <v>#REF!</v>
      </c>
      <c r="DB138" s="84">
        <f>I138+R138+AA138+AJ138+AS138+BA138+BI138+BQ138+BY138+CG138+CO138+CW138</f>
        <v>0</v>
      </c>
      <c r="DC138" s="106" t="e">
        <f>IF(#REF!&gt;=1,J138,I138)+IF(#REF!&gt;=2,S138,R138)+IF(#REF!&gt;=3,AB138,AA138)+IF(#REF!&gt;=4,AK138,AJ138)+IF(#REF!&gt;=5,AT138,AS138)+IF(#REF!&gt;=6,BB138,BA138)+IF(#REF!&gt;=7,BJ138,BI138)+IF(#REF!&gt;=8,BR138,BQ138)+IF(#REF!&gt;=9,BZ138,BY138)+IF(#REF!&gt;=10,CH138,CG138)+IF(#REF!&gt;=11,CP138,CO138)+IF(#REF!&gt;=12,CX138,CW138)</f>
        <v>#REF!</v>
      </c>
      <c r="DD138" s="52" t="e">
        <f t="shared" si="317"/>
        <v>#REF!</v>
      </c>
      <c r="DE138" s="113">
        <f t="shared" si="318"/>
        <v>0</v>
      </c>
    </row>
    <row r="139" spans="1:109" ht="31.5" hidden="1">
      <c r="A139" s="98" t="s">
        <v>183</v>
      </c>
      <c r="B139" s="30" t="s">
        <v>48</v>
      </c>
      <c r="C139" s="10" t="s">
        <v>174</v>
      </c>
      <c r="D139" s="17"/>
      <c r="E139" s="17"/>
      <c r="F139" s="17"/>
      <c r="G139" s="17"/>
      <c r="H139" s="17"/>
      <c r="I139" s="17"/>
      <c r="J139" s="17"/>
      <c r="K139" s="52" t="s">
        <v>250</v>
      </c>
      <c r="L139" s="52" t="s">
        <v>250</v>
      </c>
      <c r="M139" s="17"/>
      <c r="N139" s="17"/>
      <c r="O139" s="17"/>
      <c r="P139" s="17"/>
      <c r="Q139" s="17"/>
      <c r="R139" s="17"/>
      <c r="S139" s="17"/>
      <c r="T139" s="52" t="s">
        <v>250</v>
      </c>
      <c r="U139" s="52" t="s">
        <v>250</v>
      </c>
      <c r="V139" s="17"/>
      <c r="W139" s="17"/>
      <c r="X139" s="17"/>
      <c r="Y139" s="17"/>
      <c r="Z139" s="17"/>
      <c r="AA139" s="17"/>
      <c r="AB139" s="17"/>
      <c r="AC139" s="52" t="s">
        <v>250</v>
      </c>
      <c r="AD139" s="52" t="s">
        <v>250</v>
      </c>
      <c r="AE139" s="17"/>
      <c r="AF139" s="17"/>
      <c r="AG139" s="17"/>
      <c r="AH139" s="17"/>
      <c r="AI139" s="17"/>
      <c r="AJ139" s="17"/>
      <c r="AK139" s="17"/>
      <c r="AL139" s="52" t="s">
        <v>250</v>
      </c>
      <c r="AM139" s="52" t="s">
        <v>250</v>
      </c>
      <c r="AN139" s="17"/>
      <c r="AO139" s="17"/>
      <c r="AP139" s="17"/>
      <c r="AQ139" s="17"/>
      <c r="AR139" s="17"/>
      <c r="AS139" s="17"/>
      <c r="AT139" s="17"/>
      <c r="AU139" s="52" t="s">
        <v>250</v>
      </c>
      <c r="AV139" s="52" t="s">
        <v>250</v>
      </c>
      <c r="AW139" s="17"/>
      <c r="AX139" s="17"/>
      <c r="AY139" s="17"/>
      <c r="AZ139" s="17"/>
      <c r="BA139" s="17"/>
      <c r="BB139" s="17"/>
      <c r="BC139" s="52" t="s">
        <v>250</v>
      </c>
      <c r="BD139" s="52" t="s">
        <v>250</v>
      </c>
      <c r="BE139" s="17"/>
      <c r="BF139" s="17"/>
      <c r="BG139" s="17"/>
      <c r="BH139" s="17"/>
      <c r="BI139" s="17"/>
      <c r="BJ139" s="17"/>
      <c r="BK139" s="52" t="s">
        <v>250</v>
      </c>
      <c r="BL139" s="52" t="s">
        <v>250</v>
      </c>
      <c r="BM139" s="17"/>
      <c r="BN139" s="17"/>
      <c r="BO139" s="17"/>
      <c r="BP139" s="17"/>
      <c r="BQ139" s="17"/>
      <c r="BR139" s="17"/>
      <c r="BS139" s="52" t="s">
        <v>250</v>
      </c>
      <c r="BT139" s="52" t="s">
        <v>250</v>
      </c>
      <c r="BU139" s="17"/>
      <c r="BV139" s="17"/>
      <c r="BW139" s="17"/>
      <c r="BX139" s="17"/>
      <c r="BY139" s="17"/>
      <c r="BZ139" s="17"/>
      <c r="CA139" s="52" t="s">
        <v>250</v>
      </c>
      <c r="CB139" s="52" t="s">
        <v>250</v>
      </c>
      <c r="CC139" s="17"/>
      <c r="CD139" s="17"/>
      <c r="CE139" s="17"/>
      <c r="CF139" s="17"/>
      <c r="CG139" s="17"/>
      <c r="CH139" s="141"/>
      <c r="CI139" s="52" t="s">
        <v>250</v>
      </c>
      <c r="CJ139" s="52" t="s">
        <v>250</v>
      </c>
      <c r="CK139" s="17"/>
      <c r="CL139" s="17"/>
      <c r="CM139" s="17"/>
      <c r="CN139" s="17"/>
      <c r="CO139" s="17"/>
      <c r="CP139" s="17"/>
      <c r="CQ139" s="52" t="s">
        <v>250</v>
      </c>
      <c r="CR139" s="52" t="s">
        <v>250</v>
      </c>
      <c r="CS139" s="17"/>
      <c r="CT139" s="17"/>
      <c r="CU139" s="17"/>
      <c r="CV139" s="17"/>
      <c r="CW139" s="17"/>
      <c r="CX139" s="17"/>
      <c r="CY139" s="52" t="s">
        <v>250</v>
      </c>
      <c r="CZ139" s="52" t="s">
        <v>250</v>
      </c>
      <c r="DA139" s="50" t="e">
        <f>J139+IF(#REF!&gt;=2,S139,0)+IF(#REF!&gt;=3,AB139,0)+IF(#REF!&gt;=4,AK139,0)+IF(#REF!&gt;=5,AT139,0)+IF(#REF!&gt;=6,BB139,0)+IF(#REF!&gt;=7,BJ139,0)+IF(#REF!&gt;=8,BR139,0)+IF(#REF!&gt;=9,BZ139,0)+IF(#REF!&gt;=10,CH139,0)+IF(#REF!&gt;=11,CP139,0)+IF(#REF!&gt;=12,CX139,0)</f>
        <v>#REF!</v>
      </c>
      <c r="DB139" s="84">
        <f>I139+R139+AA139+AJ139+AS139+BA139+BI139+BQ139+BY139+CG139+CO139+CW139</f>
        <v>0</v>
      </c>
      <c r="DC139" s="106" t="e">
        <f>IF(#REF!&gt;=1,J139,I139)+IF(#REF!&gt;=2,S139,R139)+IF(#REF!&gt;=3,AB139,AA139)+IF(#REF!&gt;=4,AK139,AJ139)+IF(#REF!&gt;=5,AT139,AS139)+IF(#REF!&gt;=6,BB139,BA139)+IF(#REF!&gt;=7,BJ139,BI139)+IF(#REF!&gt;=8,BR139,BQ139)+IF(#REF!&gt;=9,BZ139,BY139)+IF(#REF!&gt;=10,CH139,CG139)+IF(#REF!&gt;=11,CP139,CO139)+IF(#REF!&gt;=12,CX139,CW139)</f>
        <v>#REF!</v>
      </c>
      <c r="DD139" s="52" t="s">
        <v>250</v>
      </c>
      <c r="DE139" s="83" t="s">
        <v>250</v>
      </c>
    </row>
    <row r="140" spans="1:109" ht="15.75" hidden="1">
      <c r="A140" s="98" t="s">
        <v>184</v>
      </c>
      <c r="B140" s="40" t="s">
        <v>185</v>
      </c>
      <c r="C140" s="41" t="s">
        <v>186</v>
      </c>
      <c r="D140" s="57">
        <f>IF(D136=0,0,D124/D136/1000)</f>
        <v>0</v>
      </c>
      <c r="E140" s="57">
        <f>IF(E136=0,0,E124/E136/1000)</f>
        <v>0</v>
      </c>
      <c r="F140" s="57"/>
      <c r="G140" s="57"/>
      <c r="H140" s="57"/>
      <c r="I140" s="57">
        <f>IF(I136=0,0,I124/I136/1000)</f>
        <v>0</v>
      </c>
      <c r="J140" s="57">
        <f>IF(J136=0,0,J124/J136/1000)</f>
        <v>0</v>
      </c>
      <c r="K140" s="52" t="s">
        <v>250</v>
      </c>
      <c r="L140" s="52" t="s">
        <v>250</v>
      </c>
      <c r="M140" s="17">
        <f>IF(M136=0,0,M124/M136/1000)</f>
        <v>0</v>
      </c>
      <c r="N140" s="57">
        <f>IF(N136=0,0,N124/N136/1000)</f>
        <v>0</v>
      </c>
      <c r="O140" s="57"/>
      <c r="P140" s="57"/>
      <c r="Q140" s="57"/>
      <c r="R140" s="57">
        <f>IF(R136=0,0,R124/R136/1000)</f>
        <v>0</v>
      </c>
      <c r="S140" s="57">
        <f>IF(S136=0,0,S124/S136/1000)</f>
        <v>0</v>
      </c>
      <c r="T140" s="52" t="s">
        <v>250</v>
      </c>
      <c r="U140" s="52" t="s">
        <v>250</v>
      </c>
      <c r="V140" s="57">
        <f>IF(V136=0,0,V124/V136/1000)</f>
        <v>0</v>
      </c>
      <c r="W140" s="57">
        <f>IF(W136=0,0,W124/W136/1000)</f>
        <v>0</v>
      </c>
      <c r="X140" s="57"/>
      <c r="Y140" s="57"/>
      <c r="Z140" s="57"/>
      <c r="AA140" s="57">
        <f>IF(AA136=0,0,AA124/AA136/1000)</f>
        <v>0</v>
      </c>
      <c r="AB140" s="57">
        <f>IF(AB136=0,0,AB124/AB136/1000)</f>
        <v>0</v>
      </c>
      <c r="AC140" s="52" t="s">
        <v>250</v>
      </c>
      <c r="AD140" s="52" t="s">
        <v>250</v>
      </c>
      <c r="AE140" s="57">
        <f>IF(AE136=0,0,AE124/AE136/1000)</f>
        <v>0</v>
      </c>
      <c r="AF140" s="57">
        <f>IF(AF136=0,0,AF124/AF136/1000)</f>
        <v>0</v>
      </c>
      <c r="AG140" s="57"/>
      <c r="AH140" s="57"/>
      <c r="AI140" s="57"/>
      <c r="AJ140" s="57">
        <f>IF(AJ136=0,0,AJ124/AJ136/1000)</f>
        <v>0</v>
      </c>
      <c r="AK140" s="57">
        <f>IF(AK136=0,0,AK124/AK136/1000)</f>
        <v>0</v>
      </c>
      <c r="AL140" s="52" t="s">
        <v>250</v>
      </c>
      <c r="AM140" s="52" t="s">
        <v>250</v>
      </c>
      <c r="AN140" s="57">
        <f>IF(AN136=0,0,AN124/AN136/1000)</f>
        <v>0</v>
      </c>
      <c r="AO140" s="57">
        <f>IF(AO136=0,0,AO124/AO136/1000)</f>
        <v>0</v>
      </c>
      <c r="AP140" s="57"/>
      <c r="AQ140" s="57"/>
      <c r="AR140" s="57"/>
      <c r="AS140" s="57">
        <f>IF(AS136=0,0,AS124/AS136/1000)</f>
        <v>0</v>
      </c>
      <c r="AT140" s="57">
        <f>IF(AT136=0,0,AT124/AT136/1000)</f>
        <v>0</v>
      </c>
      <c r="AU140" s="52" t="s">
        <v>250</v>
      </c>
      <c r="AV140" s="52" t="s">
        <v>250</v>
      </c>
      <c r="AW140" s="57">
        <f>IF(AW136=0,0,AW124/AW136/1000)</f>
        <v>0</v>
      </c>
      <c r="AX140" s="57">
        <f>IF(AX136=0,0,AX124/AX136/1000)</f>
        <v>0</v>
      </c>
      <c r="AY140" s="57"/>
      <c r="AZ140" s="57"/>
      <c r="BA140" s="57">
        <f>IF(BA136=0,0,BA124/BA136/1000)</f>
        <v>0</v>
      </c>
      <c r="BB140" s="57">
        <f>IF(BB136=0,0,BB124/BB136/1000)</f>
        <v>0</v>
      </c>
      <c r="BC140" s="52" t="s">
        <v>250</v>
      </c>
      <c r="BD140" s="52" t="s">
        <v>250</v>
      </c>
      <c r="BE140" s="57">
        <f>IF(BE136=0,0,BE124/BE136/1000)</f>
        <v>0</v>
      </c>
      <c r="BF140" s="57"/>
      <c r="BG140" s="57">
        <f>IF(BG136=0,0,BG124/BG136/1000)</f>
        <v>0</v>
      </c>
      <c r="BH140" s="57"/>
      <c r="BI140" s="57">
        <f>IF(BI136=0,0,BI124/BI136/1000)</f>
        <v>0</v>
      </c>
      <c r="BJ140" s="57">
        <f>IF(BJ136=0,0,BJ124/BJ136/1000)</f>
        <v>0</v>
      </c>
      <c r="BK140" s="52" t="s">
        <v>250</v>
      </c>
      <c r="BL140" s="52" t="s">
        <v>250</v>
      </c>
      <c r="BM140" s="57">
        <f>IF(BM136=0,0,BM124/BM136/1000)</f>
        <v>0</v>
      </c>
      <c r="BN140" s="57">
        <f>IF(BN136=0,0,BN124/BN136/1000)</f>
        <v>0</v>
      </c>
      <c r="BO140" s="57"/>
      <c r="BP140" s="57"/>
      <c r="BQ140" s="57">
        <f>IF(BQ136=0,0,BQ124/BQ136/1000)</f>
        <v>0</v>
      </c>
      <c r="BR140" s="57">
        <f>IF(BR136=0,0,BR124/BR136/1000)</f>
        <v>0</v>
      </c>
      <c r="BS140" s="52" t="s">
        <v>250</v>
      </c>
      <c r="BT140" s="52" t="s">
        <v>250</v>
      </c>
      <c r="BU140" s="57">
        <f>IF(BU136=0,0,BU124/BU136/1000)</f>
        <v>0</v>
      </c>
      <c r="BV140" s="57">
        <f>IF(BV136=0,0,BV124/BV136/1000)</f>
        <v>0</v>
      </c>
      <c r="BW140" s="57"/>
      <c r="BX140" s="57"/>
      <c r="BY140" s="57">
        <f>IF(BY136=0,0,BY124/BY136/1000)</f>
        <v>0</v>
      </c>
      <c r="BZ140" s="57">
        <f>IF(BZ136=0,0,BZ124/BZ136/1000)</f>
        <v>0</v>
      </c>
      <c r="CA140" s="52" t="s">
        <v>250</v>
      </c>
      <c r="CB140" s="52" t="s">
        <v>250</v>
      </c>
      <c r="CC140" s="57">
        <f>IF(CC136=0,0,CC124/CC136/1000)</f>
        <v>0</v>
      </c>
      <c r="CD140" s="57">
        <f>IF(CD136=0,0,CD124/CD136/1000)</f>
        <v>0</v>
      </c>
      <c r="CE140" s="57"/>
      <c r="CF140" s="57"/>
      <c r="CG140" s="57">
        <f>IF(CG136=0,0,CG124/CG136/1000)</f>
        <v>0</v>
      </c>
      <c r="CH140" s="180">
        <f>IF(CH136=0,0,CH124/CH136/1000)</f>
        <v>0</v>
      </c>
      <c r="CI140" s="52" t="s">
        <v>250</v>
      </c>
      <c r="CJ140" s="52" t="s">
        <v>250</v>
      </c>
      <c r="CK140" s="57">
        <f>IF(CK136=0,0,CK124/CK136/1000)</f>
        <v>0</v>
      </c>
      <c r="CL140" s="57">
        <f>IF(CL136=0,0,CL124/CL136/1000)</f>
        <v>0</v>
      </c>
      <c r="CM140" s="57"/>
      <c r="CN140" s="57"/>
      <c r="CO140" s="57">
        <f>IF(CO136=0,0,CO124/CO136/1000)</f>
        <v>0</v>
      </c>
      <c r="CP140" s="57">
        <f>IF(CP136=0,0,CP124/CP136/1000)</f>
        <v>0</v>
      </c>
      <c r="CQ140" s="52" t="s">
        <v>250</v>
      </c>
      <c r="CR140" s="52" t="s">
        <v>250</v>
      </c>
      <c r="CS140" s="57">
        <f>IF(CS136=0,0,CS124/CS136/1000)</f>
        <v>0</v>
      </c>
      <c r="CT140" s="57">
        <f>IF(CT136=0,0,CT124/CT136/1000)</f>
        <v>0</v>
      </c>
      <c r="CU140" s="57"/>
      <c r="CV140" s="57"/>
      <c r="CW140" s="57">
        <f>IF(CW136=0,0,CW124/CW136/1000)</f>
        <v>0</v>
      </c>
      <c r="CX140" s="57">
        <f>IF(CX136=0,0,CX124/CX136/1000)</f>
        <v>0</v>
      </c>
      <c r="CY140" s="52" t="s">
        <v>250</v>
      </c>
      <c r="CZ140" s="52" t="s">
        <v>250</v>
      </c>
      <c r="DA140" s="57" t="e">
        <f>IF(DA136=0,0,DA124/DA136/1000)</f>
        <v>#REF!</v>
      </c>
      <c r="DB140" s="91">
        <f>IF(DB136=0,0,DB124/DB136/1000)</f>
        <v>0</v>
      </c>
      <c r="DC140" s="57" t="e">
        <f>IF(DC136=0,0,DC124/DC136/1000)</f>
        <v>#REF!</v>
      </c>
      <c r="DD140" s="52" t="s">
        <v>250</v>
      </c>
      <c r="DE140" s="83" t="s">
        <v>250</v>
      </c>
    </row>
    <row r="141" spans="1:109" s="8" customFormat="1" ht="18.75" hidden="1">
      <c r="A141" s="98" t="s">
        <v>187</v>
      </c>
      <c r="B141" s="37" t="s">
        <v>188</v>
      </c>
      <c r="C141" s="6"/>
      <c r="D141" s="38"/>
      <c r="E141" s="38"/>
      <c r="F141" s="38"/>
      <c r="G141" s="38"/>
      <c r="H141" s="38"/>
      <c r="I141" s="38"/>
      <c r="J141" s="38"/>
      <c r="K141" s="38"/>
      <c r="L141" s="38"/>
      <c r="M141" s="17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  <c r="BU141" s="38"/>
      <c r="BV141" s="38"/>
      <c r="BW141" s="38"/>
      <c r="BX141" s="38"/>
      <c r="BY141" s="38"/>
      <c r="BZ141" s="38"/>
      <c r="CA141" s="38"/>
      <c r="CB141" s="38"/>
      <c r="CC141" s="38"/>
      <c r="CD141" s="38"/>
      <c r="CE141" s="38"/>
      <c r="CF141" s="38"/>
      <c r="CG141" s="38"/>
      <c r="CH141" s="182"/>
      <c r="CI141" s="38"/>
      <c r="CJ141" s="38"/>
      <c r="CK141" s="38"/>
      <c r="CL141" s="38"/>
      <c r="CM141" s="38"/>
      <c r="CN141" s="38"/>
      <c r="CO141" s="38"/>
      <c r="CP141" s="38"/>
      <c r="CQ141" s="38"/>
      <c r="CR141" s="38"/>
      <c r="CS141" s="38"/>
      <c r="CT141" s="38"/>
      <c r="CU141" s="38"/>
      <c r="CV141" s="38"/>
      <c r="CW141" s="38"/>
      <c r="CX141" s="38"/>
      <c r="CY141" s="38"/>
      <c r="CZ141" s="38"/>
      <c r="DA141" s="38"/>
      <c r="DB141" s="89"/>
      <c r="DC141" s="38"/>
      <c r="DD141" s="38"/>
      <c r="DE141" s="90"/>
    </row>
    <row r="142" spans="1:109" ht="15.75" hidden="1">
      <c r="A142" s="98" t="s">
        <v>189</v>
      </c>
      <c r="B142" s="48" t="s">
        <v>190</v>
      </c>
      <c r="C142" s="42" t="s">
        <v>191</v>
      </c>
      <c r="D142" s="17"/>
      <c r="E142" s="17"/>
      <c r="F142" s="17"/>
      <c r="G142" s="17"/>
      <c r="H142" s="17"/>
      <c r="I142" s="17"/>
      <c r="J142" s="17"/>
      <c r="K142" s="52">
        <f t="shared" si="221"/>
        <v>0</v>
      </c>
      <c r="L142" s="109">
        <f t="shared" si="319"/>
        <v>0</v>
      </c>
      <c r="M142" s="17"/>
      <c r="N142" s="17"/>
      <c r="O142" s="17"/>
      <c r="P142" s="17"/>
      <c r="Q142" s="17"/>
      <c r="R142" s="17"/>
      <c r="S142" s="17"/>
      <c r="T142" s="52">
        <f aca="true" t="shared" si="320" ref="T142:T148">S142-R142</f>
        <v>0</v>
      </c>
      <c r="U142" s="109">
        <f>IF(R142=0,0,T142/R142)</f>
        <v>0</v>
      </c>
      <c r="V142" s="17"/>
      <c r="W142" s="17"/>
      <c r="X142" s="17"/>
      <c r="Y142" s="17"/>
      <c r="Z142" s="17"/>
      <c r="AA142" s="17"/>
      <c r="AB142" s="17"/>
      <c r="AC142" s="52">
        <f aca="true" t="shared" si="321" ref="AC142:AC148">AB142-AA142</f>
        <v>0</v>
      </c>
      <c r="AD142" s="109">
        <f>IF(AA142=0,0,AC142/AA142)</f>
        <v>0</v>
      </c>
      <c r="AE142" s="17"/>
      <c r="AF142" s="17"/>
      <c r="AG142" s="17"/>
      <c r="AH142" s="17"/>
      <c r="AI142" s="17"/>
      <c r="AJ142" s="17"/>
      <c r="AK142" s="17"/>
      <c r="AL142" s="52">
        <f aca="true" t="shared" si="322" ref="AL142:AL148">AK142-AJ142</f>
        <v>0</v>
      </c>
      <c r="AM142" s="109">
        <f>IF(AJ142=0,0,AL142/AJ142)</f>
        <v>0</v>
      </c>
      <c r="AN142" s="17"/>
      <c r="AO142" s="17"/>
      <c r="AP142" s="17"/>
      <c r="AQ142" s="17"/>
      <c r="AR142" s="17"/>
      <c r="AS142" s="17"/>
      <c r="AT142" s="17"/>
      <c r="AU142" s="52">
        <f aca="true" t="shared" si="323" ref="AU142:AU148">AT142-AS142</f>
        <v>0</v>
      </c>
      <c r="AV142" s="109">
        <f>IF(AS142=0,0,AU142/AS142)</f>
        <v>0</v>
      </c>
      <c r="AW142" s="17"/>
      <c r="AX142" s="17"/>
      <c r="AY142" s="17"/>
      <c r="AZ142" s="17"/>
      <c r="BA142" s="17"/>
      <c r="BB142" s="17"/>
      <c r="BC142" s="52">
        <f aca="true" t="shared" si="324" ref="BC142:BC148">BB142-BA142</f>
        <v>0</v>
      </c>
      <c r="BD142" s="109">
        <f>IF(BA142=0,0,BC142/BA142)</f>
        <v>0</v>
      </c>
      <c r="BE142" s="17"/>
      <c r="BF142" s="17"/>
      <c r="BG142" s="17"/>
      <c r="BH142" s="17"/>
      <c r="BI142" s="17"/>
      <c r="BJ142" s="17"/>
      <c r="BK142" s="52">
        <f aca="true" t="shared" si="325" ref="BK142:BK148">BJ142-BI142</f>
        <v>0</v>
      </c>
      <c r="BL142" s="109">
        <f>IF(BI142=0,0,BK142/BI142)</f>
        <v>0</v>
      </c>
      <c r="BM142" s="17"/>
      <c r="BN142" s="17"/>
      <c r="BO142" s="17"/>
      <c r="BP142" s="17"/>
      <c r="BQ142" s="17"/>
      <c r="BR142" s="17"/>
      <c r="BS142" s="52">
        <f aca="true" t="shared" si="326" ref="BS142:BS148">BR142-BQ142</f>
        <v>0</v>
      </c>
      <c r="BT142" s="109">
        <f>IF(BQ142=0,0,BS142/BQ142)</f>
        <v>0</v>
      </c>
      <c r="BU142" s="17"/>
      <c r="BV142" s="17"/>
      <c r="BW142" s="17"/>
      <c r="BX142" s="17"/>
      <c r="BY142" s="17"/>
      <c r="BZ142" s="17"/>
      <c r="CA142" s="52">
        <f aca="true" t="shared" si="327" ref="CA142:CA148">BZ142-BY142</f>
        <v>0</v>
      </c>
      <c r="CB142" s="109">
        <f>IF(BY142=0,0,CA142/BY142)</f>
        <v>0</v>
      </c>
      <c r="CC142" s="17"/>
      <c r="CD142" s="17"/>
      <c r="CE142" s="17"/>
      <c r="CF142" s="17"/>
      <c r="CG142" s="17"/>
      <c r="CH142" s="141"/>
      <c r="CI142" s="52">
        <f aca="true" t="shared" si="328" ref="CI142:CI148">CH142-CG142</f>
        <v>0</v>
      </c>
      <c r="CJ142" s="109">
        <f>IF(CG142=0,0,CI142/CG142)</f>
        <v>0</v>
      </c>
      <c r="CK142" s="17"/>
      <c r="CL142" s="17"/>
      <c r="CM142" s="17"/>
      <c r="CN142" s="17"/>
      <c r="CO142" s="17"/>
      <c r="CP142" s="17"/>
      <c r="CQ142" s="52">
        <f aca="true" t="shared" si="329" ref="CQ142:CQ148">CP142-CO142</f>
        <v>0</v>
      </c>
      <c r="CR142" s="109">
        <f>IF(CO142=0,0,CQ142/CO142)</f>
        <v>0</v>
      </c>
      <c r="CS142" s="17"/>
      <c r="CT142" s="17"/>
      <c r="CU142" s="17"/>
      <c r="CV142" s="17"/>
      <c r="CW142" s="17"/>
      <c r="CX142" s="17"/>
      <c r="CY142" s="52">
        <f aca="true" t="shared" si="330" ref="CY142:CY148">CX142-CW142</f>
        <v>0</v>
      </c>
      <c r="CZ142" s="109">
        <f>IF(CW142=0,0,CY142/CW142)</f>
        <v>0</v>
      </c>
      <c r="DA142" s="50" t="e">
        <f>J142+IF(#REF!&gt;=2,S142,0)+IF(#REF!&gt;=3,AB142,0)+IF(#REF!&gt;=4,AK142,0)+IF(#REF!&gt;=5,AT142,0)+IF(#REF!&gt;=6,BB142,0)+IF(#REF!&gt;=7,BJ142,0)+IF(#REF!&gt;=8,BR142,0)+IF(#REF!&gt;=9,BZ142,0)+IF(#REF!&gt;=10,CH142,0)+IF(#REF!&gt;=11,CP142,0)+IF(#REF!&gt;=12,CX142,0)</f>
        <v>#REF!</v>
      </c>
      <c r="DB142" s="84">
        <f>I142+R142+AA142+AJ142+AS142+BA142+BI142+BQ142+BY142+CG142+CO142+CW142</f>
        <v>0</v>
      </c>
      <c r="DC142" s="106" t="e">
        <f>IF(#REF!&gt;=1,J142,I142)+IF(#REF!&gt;=2,S142,R142)+IF(#REF!&gt;=3,AB142,AA142)+IF(#REF!&gt;=4,AK142,AJ142)+IF(#REF!&gt;=5,AT142,AS142)+IF(#REF!&gt;=6,BB142,BA142)+IF(#REF!&gt;=7,BJ142,BI142)+IF(#REF!&gt;=8,BR142,BQ142)+IF(#REF!&gt;=9,BZ142,BY142)+IF(#REF!&gt;=10,CH142,CG142)+IF(#REF!&gt;=11,CP142,CO142)+IF(#REF!&gt;=12,CX142,CW142)</f>
        <v>#REF!</v>
      </c>
      <c r="DD142" s="52" t="e">
        <f aca="true" t="shared" si="331" ref="DD142:DD148">DC142-DB142</f>
        <v>#REF!</v>
      </c>
      <c r="DE142" s="113">
        <f>IF(DB142=0,0,DD142/DB142)</f>
        <v>0</v>
      </c>
    </row>
    <row r="143" spans="1:109" ht="15.75" hidden="1">
      <c r="A143" s="98" t="s">
        <v>192</v>
      </c>
      <c r="B143" s="48" t="s">
        <v>193</v>
      </c>
      <c r="C143" s="42" t="s">
        <v>191</v>
      </c>
      <c r="D143" s="17"/>
      <c r="E143" s="17"/>
      <c r="F143" s="17"/>
      <c r="G143" s="17"/>
      <c r="H143" s="17"/>
      <c r="I143" s="17"/>
      <c r="J143" s="17"/>
      <c r="K143" s="52">
        <f aca="true" t="shared" si="332" ref="K143:K184">J143-I143</f>
        <v>0</v>
      </c>
      <c r="L143" s="109">
        <f t="shared" si="319"/>
        <v>0</v>
      </c>
      <c r="M143" s="17"/>
      <c r="N143" s="17"/>
      <c r="O143" s="17"/>
      <c r="P143" s="17"/>
      <c r="Q143" s="17"/>
      <c r="R143" s="17"/>
      <c r="S143" s="17"/>
      <c r="T143" s="52">
        <f t="shared" si="320"/>
        <v>0</v>
      </c>
      <c r="U143" s="109">
        <f>IF(R143=0,0,T143/R143)</f>
        <v>0</v>
      </c>
      <c r="V143" s="17"/>
      <c r="W143" s="17"/>
      <c r="X143" s="17"/>
      <c r="Y143" s="17"/>
      <c r="Z143" s="17"/>
      <c r="AA143" s="17"/>
      <c r="AB143" s="17"/>
      <c r="AC143" s="52">
        <f t="shared" si="321"/>
        <v>0</v>
      </c>
      <c r="AD143" s="109">
        <f>IF(AA143=0,0,AC143/AA143)</f>
        <v>0</v>
      </c>
      <c r="AE143" s="17"/>
      <c r="AF143" s="17"/>
      <c r="AG143" s="17"/>
      <c r="AH143" s="17"/>
      <c r="AI143" s="17"/>
      <c r="AJ143" s="17"/>
      <c r="AK143" s="17"/>
      <c r="AL143" s="52">
        <f t="shared" si="322"/>
        <v>0</v>
      </c>
      <c r="AM143" s="109">
        <f>IF(AJ143=0,0,AL143/AJ143)</f>
        <v>0</v>
      </c>
      <c r="AN143" s="17"/>
      <c r="AO143" s="17"/>
      <c r="AP143" s="17"/>
      <c r="AQ143" s="17"/>
      <c r="AR143" s="17"/>
      <c r="AS143" s="17"/>
      <c r="AT143" s="17"/>
      <c r="AU143" s="52">
        <f t="shared" si="323"/>
        <v>0</v>
      </c>
      <c r="AV143" s="109">
        <f>IF(AS143=0,0,AU143/AS143)</f>
        <v>0</v>
      </c>
      <c r="AW143" s="17"/>
      <c r="AX143" s="17"/>
      <c r="AY143" s="17"/>
      <c r="AZ143" s="17"/>
      <c r="BA143" s="17"/>
      <c r="BB143" s="17"/>
      <c r="BC143" s="52">
        <f t="shared" si="324"/>
        <v>0</v>
      </c>
      <c r="BD143" s="109">
        <f>IF(BA143=0,0,BC143/BA143)</f>
        <v>0</v>
      </c>
      <c r="BE143" s="17"/>
      <c r="BF143" s="17"/>
      <c r="BG143" s="17"/>
      <c r="BH143" s="17"/>
      <c r="BI143" s="17"/>
      <c r="BJ143" s="17"/>
      <c r="BK143" s="52">
        <f t="shared" si="325"/>
        <v>0</v>
      </c>
      <c r="BL143" s="109">
        <f>IF(BI143=0,0,BK143/BI143)</f>
        <v>0</v>
      </c>
      <c r="BM143" s="17"/>
      <c r="BN143" s="17"/>
      <c r="BO143" s="17"/>
      <c r="BP143" s="17"/>
      <c r="BQ143" s="17"/>
      <c r="BR143" s="17"/>
      <c r="BS143" s="52">
        <f t="shared" si="326"/>
        <v>0</v>
      </c>
      <c r="BT143" s="109">
        <f>IF(BQ143=0,0,BS143/BQ143)</f>
        <v>0</v>
      </c>
      <c r="BU143" s="17"/>
      <c r="BV143" s="17"/>
      <c r="BW143" s="17"/>
      <c r="BX143" s="17"/>
      <c r="BY143" s="17"/>
      <c r="BZ143" s="17"/>
      <c r="CA143" s="52">
        <f t="shared" si="327"/>
        <v>0</v>
      </c>
      <c r="CB143" s="109">
        <f>IF(BY143=0,0,CA143/BY143)</f>
        <v>0</v>
      </c>
      <c r="CC143" s="17"/>
      <c r="CD143" s="17"/>
      <c r="CE143" s="17"/>
      <c r="CF143" s="17"/>
      <c r="CG143" s="17"/>
      <c r="CH143" s="141"/>
      <c r="CI143" s="52">
        <f t="shared" si="328"/>
        <v>0</v>
      </c>
      <c r="CJ143" s="109">
        <f>IF(CG143=0,0,CI143/CG143)</f>
        <v>0</v>
      </c>
      <c r="CK143" s="17"/>
      <c r="CL143" s="17"/>
      <c r="CM143" s="17"/>
      <c r="CN143" s="17"/>
      <c r="CO143" s="17"/>
      <c r="CP143" s="17"/>
      <c r="CQ143" s="52">
        <f t="shared" si="329"/>
        <v>0</v>
      </c>
      <c r="CR143" s="109">
        <f>IF(CO143=0,0,CQ143/CO143)</f>
        <v>0</v>
      </c>
      <c r="CS143" s="17"/>
      <c r="CT143" s="17"/>
      <c r="CU143" s="17"/>
      <c r="CV143" s="17"/>
      <c r="CW143" s="17"/>
      <c r="CX143" s="17"/>
      <c r="CY143" s="52">
        <f t="shared" si="330"/>
        <v>0</v>
      </c>
      <c r="CZ143" s="109">
        <f>IF(CW143=0,0,CY143/CW143)</f>
        <v>0</v>
      </c>
      <c r="DA143" s="50" t="e">
        <f>J143+IF(#REF!&gt;=2,S143,0)+IF(#REF!&gt;=3,AB143,0)+IF(#REF!&gt;=4,AK143,0)+IF(#REF!&gt;=5,AT143,0)+IF(#REF!&gt;=6,BB143,0)+IF(#REF!&gt;=7,BJ143,0)+IF(#REF!&gt;=8,BR143,0)+IF(#REF!&gt;=9,BZ143,0)+IF(#REF!&gt;=10,CH143,0)+IF(#REF!&gt;=11,CP143,0)+IF(#REF!&gt;=12,CX143,0)</f>
        <v>#REF!</v>
      </c>
      <c r="DB143" s="84">
        <f>I143+R143+AA143+AJ143+AS143+BA143+BI143+BQ143+BY143+CG143+CO143+CW143</f>
        <v>0</v>
      </c>
      <c r="DC143" s="106" t="e">
        <f>IF(#REF!&gt;=1,J143,I143)+IF(#REF!&gt;=2,S143,R143)+IF(#REF!&gt;=3,AB143,AA143)+IF(#REF!&gt;=4,AK143,AJ143)+IF(#REF!&gt;=5,AT143,AS143)+IF(#REF!&gt;=6,BB143,BA143)+IF(#REF!&gt;=7,BJ143,BI143)+IF(#REF!&gt;=8,BR143,BQ143)+IF(#REF!&gt;=9,BZ143,BY143)+IF(#REF!&gt;=10,CH143,CG143)+IF(#REF!&gt;=11,CP143,CO143)+IF(#REF!&gt;=12,CX143,CW143)</f>
        <v>#REF!</v>
      </c>
      <c r="DD143" s="52" t="e">
        <f t="shared" si="331"/>
        <v>#REF!</v>
      </c>
      <c r="DE143" s="113">
        <f>IF(DB143=0,0,DD143/DB143)</f>
        <v>0</v>
      </c>
    </row>
    <row r="144" spans="1:109" ht="15.75" hidden="1">
      <c r="A144" s="98" t="s">
        <v>194</v>
      </c>
      <c r="B144" s="48" t="s">
        <v>195</v>
      </c>
      <c r="C144" s="42" t="s">
        <v>191</v>
      </c>
      <c r="D144" s="55">
        <f>D142+D143</f>
        <v>0</v>
      </c>
      <c r="E144" s="55">
        <f>E142+E143</f>
        <v>0</v>
      </c>
      <c r="F144" s="55"/>
      <c r="G144" s="55"/>
      <c r="H144" s="55"/>
      <c r="I144" s="55">
        <f>I142+I143</f>
        <v>0</v>
      </c>
      <c r="J144" s="55">
        <f>J142+J143</f>
        <v>0</v>
      </c>
      <c r="K144" s="52">
        <f t="shared" si="332"/>
        <v>0</v>
      </c>
      <c r="L144" s="109">
        <f t="shared" si="319"/>
        <v>0</v>
      </c>
      <c r="M144" s="52">
        <f>M142+M143</f>
        <v>0</v>
      </c>
      <c r="N144" s="55">
        <f>N142+N143</f>
        <v>0</v>
      </c>
      <c r="O144" s="55"/>
      <c r="P144" s="55"/>
      <c r="Q144" s="55"/>
      <c r="R144" s="55">
        <f>R142+R143</f>
        <v>0</v>
      </c>
      <c r="S144" s="55">
        <f>S142+S143</f>
        <v>0</v>
      </c>
      <c r="T144" s="52">
        <f t="shared" si="320"/>
        <v>0</v>
      </c>
      <c r="U144" s="109">
        <f>IF(R144=0,0,T144/R144)</f>
        <v>0</v>
      </c>
      <c r="V144" s="55">
        <f>V142+V143</f>
        <v>0</v>
      </c>
      <c r="W144" s="55">
        <f>W142+W143</f>
        <v>0</v>
      </c>
      <c r="X144" s="55"/>
      <c r="Y144" s="55"/>
      <c r="Z144" s="55"/>
      <c r="AA144" s="55">
        <f>AA142+AA143</f>
        <v>0</v>
      </c>
      <c r="AB144" s="55">
        <f>AB142+AB143</f>
        <v>0</v>
      </c>
      <c r="AC144" s="52">
        <f t="shared" si="321"/>
        <v>0</v>
      </c>
      <c r="AD144" s="109">
        <f>IF(AA144=0,0,AC144/AA144)</f>
        <v>0</v>
      </c>
      <c r="AE144" s="55">
        <f>AE142+AE143</f>
        <v>0</v>
      </c>
      <c r="AF144" s="55">
        <f>AF142+AF143</f>
        <v>0</v>
      </c>
      <c r="AG144" s="55"/>
      <c r="AH144" s="55"/>
      <c r="AI144" s="55"/>
      <c r="AJ144" s="55">
        <f>AJ142+AJ143</f>
        <v>0</v>
      </c>
      <c r="AK144" s="55">
        <f>AK142+AK143</f>
        <v>0</v>
      </c>
      <c r="AL144" s="52">
        <f t="shared" si="322"/>
        <v>0</v>
      </c>
      <c r="AM144" s="109">
        <f>IF(AJ144=0,0,AL144/AJ144)</f>
        <v>0</v>
      </c>
      <c r="AN144" s="55">
        <f>AN142+AN143</f>
        <v>0</v>
      </c>
      <c r="AO144" s="55">
        <f>AO142+AO143</f>
        <v>0</v>
      </c>
      <c r="AP144" s="55"/>
      <c r="AQ144" s="55"/>
      <c r="AR144" s="55"/>
      <c r="AS144" s="55">
        <f>AS142+AS143</f>
        <v>0</v>
      </c>
      <c r="AT144" s="55">
        <f>AT142+AT143</f>
        <v>0</v>
      </c>
      <c r="AU144" s="52">
        <f t="shared" si="323"/>
        <v>0</v>
      </c>
      <c r="AV144" s="109">
        <f>IF(AS144=0,0,AU144/AS144)</f>
        <v>0</v>
      </c>
      <c r="AW144" s="55">
        <f>AW142+AW143</f>
        <v>0</v>
      </c>
      <c r="AX144" s="55">
        <f>AX142+AX143</f>
        <v>0</v>
      </c>
      <c r="AY144" s="55"/>
      <c r="AZ144" s="55"/>
      <c r="BA144" s="55">
        <f>BA142+BA143</f>
        <v>0</v>
      </c>
      <c r="BB144" s="55">
        <f>BB142+BB143</f>
        <v>0</v>
      </c>
      <c r="BC144" s="52">
        <f t="shared" si="324"/>
        <v>0</v>
      </c>
      <c r="BD144" s="109">
        <f>IF(BA144=0,0,BC144/BA144)</f>
        <v>0</v>
      </c>
      <c r="BE144" s="55">
        <f>BE142+BE143</f>
        <v>0</v>
      </c>
      <c r="BF144" s="55"/>
      <c r="BG144" s="55">
        <f>BG142+BG143</f>
        <v>0</v>
      </c>
      <c r="BH144" s="55"/>
      <c r="BI144" s="55">
        <f>BI142+BI143</f>
        <v>0</v>
      </c>
      <c r="BJ144" s="55">
        <f>BJ142+BJ143</f>
        <v>0</v>
      </c>
      <c r="BK144" s="52">
        <f t="shared" si="325"/>
        <v>0</v>
      </c>
      <c r="BL144" s="109">
        <f>IF(BI144=0,0,BK144/BI144)</f>
        <v>0</v>
      </c>
      <c r="BM144" s="55">
        <f>BM142+BM143</f>
        <v>0</v>
      </c>
      <c r="BN144" s="55">
        <f>BN142+BN143</f>
        <v>0</v>
      </c>
      <c r="BO144" s="55"/>
      <c r="BP144" s="55"/>
      <c r="BQ144" s="55">
        <f>BQ142+BQ143</f>
        <v>0</v>
      </c>
      <c r="BR144" s="55">
        <f>BR142+BR143</f>
        <v>0</v>
      </c>
      <c r="BS144" s="52">
        <f t="shared" si="326"/>
        <v>0</v>
      </c>
      <c r="BT144" s="109">
        <f>IF(BQ144=0,0,BS144/BQ144)</f>
        <v>0</v>
      </c>
      <c r="BU144" s="55">
        <f>BU142+BU143</f>
        <v>0</v>
      </c>
      <c r="BV144" s="55">
        <f>BV142+BV143</f>
        <v>0</v>
      </c>
      <c r="BW144" s="55"/>
      <c r="BX144" s="55"/>
      <c r="BY144" s="55">
        <f>BY142+BY143</f>
        <v>0</v>
      </c>
      <c r="BZ144" s="55">
        <f>BZ142+BZ143</f>
        <v>0</v>
      </c>
      <c r="CA144" s="52">
        <f t="shared" si="327"/>
        <v>0</v>
      </c>
      <c r="CB144" s="109">
        <f>IF(BY144=0,0,CA144/BY144)</f>
        <v>0</v>
      </c>
      <c r="CC144" s="55">
        <f>CC142+CC143</f>
        <v>0</v>
      </c>
      <c r="CD144" s="55">
        <f>CD142+CD143</f>
        <v>0</v>
      </c>
      <c r="CE144" s="55"/>
      <c r="CF144" s="55"/>
      <c r="CG144" s="55">
        <f>CG142+CG143</f>
        <v>0</v>
      </c>
      <c r="CH144" s="180">
        <f>CH142+CH143</f>
        <v>0</v>
      </c>
      <c r="CI144" s="52">
        <f t="shared" si="328"/>
        <v>0</v>
      </c>
      <c r="CJ144" s="109">
        <f>IF(CG144=0,0,CI144/CG144)</f>
        <v>0</v>
      </c>
      <c r="CK144" s="55">
        <f>CK142+CK143</f>
        <v>0</v>
      </c>
      <c r="CL144" s="55">
        <f>CL142+CL143</f>
        <v>0</v>
      </c>
      <c r="CM144" s="55"/>
      <c r="CN144" s="55"/>
      <c r="CO144" s="55">
        <f>CO142+CO143</f>
        <v>0</v>
      </c>
      <c r="CP144" s="55">
        <f>CP142+CP143</f>
        <v>0</v>
      </c>
      <c r="CQ144" s="52">
        <f t="shared" si="329"/>
        <v>0</v>
      </c>
      <c r="CR144" s="109">
        <f>IF(CO144=0,0,CQ144/CO144)</f>
        <v>0</v>
      </c>
      <c r="CS144" s="55">
        <f>CS142+CS143</f>
        <v>0</v>
      </c>
      <c r="CT144" s="55">
        <f>CT142+CT143</f>
        <v>0</v>
      </c>
      <c r="CU144" s="55"/>
      <c r="CV144" s="55"/>
      <c r="CW144" s="55">
        <f>CW142+CW143</f>
        <v>0</v>
      </c>
      <c r="CX144" s="55">
        <f>CX142+CX143</f>
        <v>0</v>
      </c>
      <c r="CY144" s="52">
        <f t="shared" si="330"/>
        <v>0</v>
      </c>
      <c r="CZ144" s="109">
        <f>IF(CW144=0,0,CY144/CW144)</f>
        <v>0</v>
      </c>
      <c r="DA144" s="55" t="e">
        <f>DA142+DA143</f>
        <v>#REF!</v>
      </c>
      <c r="DB144" s="92">
        <f>DB142+DB143</f>
        <v>0</v>
      </c>
      <c r="DC144" s="55" t="e">
        <f>DC142+DC143</f>
        <v>#REF!</v>
      </c>
      <c r="DD144" s="52" t="e">
        <f t="shared" si="331"/>
        <v>#REF!</v>
      </c>
      <c r="DE144" s="113">
        <f>IF(DB144=0,0,DD144/DB144)</f>
        <v>0</v>
      </c>
    </row>
    <row r="145" spans="1:109" ht="15.75" hidden="1">
      <c r="A145" s="98" t="s">
        <v>196</v>
      </c>
      <c r="B145" s="48" t="s">
        <v>38</v>
      </c>
      <c r="C145" s="42" t="s">
        <v>191</v>
      </c>
      <c r="D145" s="17"/>
      <c r="E145" s="17"/>
      <c r="F145" s="17"/>
      <c r="G145" s="17"/>
      <c r="H145" s="17"/>
      <c r="I145" s="17"/>
      <c r="J145" s="17"/>
      <c r="K145" s="52">
        <f t="shared" si="332"/>
        <v>0</v>
      </c>
      <c r="L145" s="109">
        <f t="shared" si="319"/>
        <v>0</v>
      </c>
      <c r="M145" s="17"/>
      <c r="N145" s="17"/>
      <c r="O145" s="17"/>
      <c r="P145" s="17"/>
      <c r="Q145" s="17"/>
      <c r="R145" s="17"/>
      <c r="S145" s="17"/>
      <c r="T145" s="52">
        <f t="shared" si="320"/>
        <v>0</v>
      </c>
      <c r="U145" s="109">
        <f>IF(R145=0,0,T145/R145)</f>
        <v>0</v>
      </c>
      <c r="V145" s="17"/>
      <c r="W145" s="17"/>
      <c r="X145" s="17"/>
      <c r="Y145" s="17"/>
      <c r="Z145" s="17"/>
      <c r="AA145" s="17"/>
      <c r="AB145" s="17"/>
      <c r="AC145" s="52">
        <f t="shared" si="321"/>
        <v>0</v>
      </c>
      <c r="AD145" s="109">
        <f>IF(AA145=0,0,AC145/AA145)</f>
        <v>0</v>
      </c>
      <c r="AE145" s="17"/>
      <c r="AF145" s="17"/>
      <c r="AG145" s="17"/>
      <c r="AH145" s="17"/>
      <c r="AI145" s="17"/>
      <c r="AJ145" s="17"/>
      <c r="AK145" s="17"/>
      <c r="AL145" s="52">
        <f t="shared" si="322"/>
        <v>0</v>
      </c>
      <c r="AM145" s="109">
        <f>IF(AJ145=0,0,AL145/AJ145)</f>
        <v>0</v>
      </c>
      <c r="AN145" s="17"/>
      <c r="AO145" s="17"/>
      <c r="AP145" s="17"/>
      <c r="AQ145" s="17"/>
      <c r="AR145" s="17"/>
      <c r="AS145" s="17"/>
      <c r="AT145" s="17"/>
      <c r="AU145" s="52">
        <f t="shared" si="323"/>
        <v>0</v>
      </c>
      <c r="AV145" s="109">
        <f>IF(AS145=0,0,AU145/AS145)</f>
        <v>0</v>
      </c>
      <c r="AW145" s="17"/>
      <c r="AX145" s="17"/>
      <c r="AY145" s="17"/>
      <c r="AZ145" s="17"/>
      <c r="BA145" s="17"/>
      <c r="BB145" s="17"/>
      <c r="BC145" s="52">
        <f t="shared" si="324"/>
        <v>0</v>
      </c>
      <c r="BD145" s="109">
        <f>IF(BA145=0,0,BC145/BA145)</f>
        <v>0</v>
      </c>
      <c r="BE145" s="17"/>
      <c r="BF145" s="17"/>
      <c r="BG145" s="17"/>
      <c r="BH145" s="17"/>
      <c r="BI145" s="17"/>
      <c r="BJ145" s="17"/>
      <c r="BK145" s="52">
        <f t="shared" si="325"/>
        <v>0</v>
      </c>
      <c r="BL145" s="109">
        <f>IF(BI145=0,0,BK145/BI145)</f>
        <v>0</v>
      </c>
      <c r="BM145" s="17"/>
      <c r="BN145" s="17"/>
      <c r="BO145" s="17"/>
      <c r="BP145" s="17"/>
      <c r="BQ145" s="17"/>
      <c r="BR145" s="17"/>
      <c r="BS145" s="52">
        <f t="shared" si="326"/>
        <v>0</v>
      </c>
      <c r="BT145" s="109">
        <f>IF(BQ145=0,0,BS145/BQ145)</f>
        <v>0</v>
      </c>
      <c r="BU145" s="17"/>
      <c r="BV145" s="17"/>
      <c r="BW145" s="17"/>
      <c r="BX145" s="17"/>
      <c r="BY145" s="17"/>
      <c r="BZ145" s="17"/>
      <c r="CA145" s="52">
        <f t="shared" si="327"/>
        <v>0</v>
      </c>
      <c r="CB145" s="109">
        <f>IF(BY145=0,0,CA145/BY145)</f>
        <v>0</v>
      </c>
      <c r="CC145" s="17"/>
      <c r="CD145" s="17"/>
      <c r="CE145" s="17"/>
      <c r="CF145" s="17"/>
      <c r="CG145" s="17"/>
      <c r="CH145" s="141"/>
      <c r="CI145" s="52">
        <f t="shared" si="328"/>
        <v>0</v>
      </c>
      <c r="CJ145" s="109">
        <f>IF(CG145=0,0,CI145/CG145)</f>
        <v>0</v>
      </c>
      <c r="CK145" s="17"/>
      <c r="CL145" s="17"/>
      <c r="CM145" s="17"/>
      <c r="CN145" s="17"/>
      <c r="CO145" s="17"/>
      <c r="CP145" s="17"/>
      <c r="CQ145" s="52">
        <f t="shared" si="329"/>
        <v>0</v>
      </c>
      <c r="CR145" s="109">
        <f>IF(CO145=0,0,CQ145/CO145)</f>
        <v>0</v>
      </c>
      <c r="CS145" s="17"/>
      <c r="CT145" s="17"/>
      <c r="CU145" s="17"/>
      <c r="CV145" s="17"/>
      <c r="CW145" s="17"/>
      <c r="CX145" s="17"/>
      <c r="CY145" s="52">
        <f t="shared" si="330"/>
        <v>0</v>
      </c>
      <c r="CZ145" s="109">
        <f>IF(CW145=0,0,CY145/CW145)</f>
        <v>0</v>
      </c>
      <c r="DA145" s="50" t="e">
        <f>J145+IF(#REF!&gt;=2,S145,0)+IF(#REF!&gt;=3,AB145,0)+IF(#REF!&gt;=4,AK145,0)+IF(#REF!&gt;=5,AT145,0)+IF(#REF!&gt;=6,BB145,0)+IF(#REF!&gt;=7,BJ145,0)+IF(#REF!&gt;=8,BR145,0)+IF(#REF!&gt;=9,BZ145,0)+IF(#REF!&gt;=10,CH145,0)+IF(#REF!&gt;=11,CP145,0)+IF(#REF!&gt;=12,CX145,0)</f>
        <v>#REF!</v>
      </c>
      <c r="DB145" s="84">
        <f>I145+R145+AA145+AJ145+AS145+BA145+BI145+BQ145+BY145+CG145+CO145+CW145</f>
        <v>0</v>
      </c>
      <c r="DC145" s="106" t="e">
        <f>IF(#REF!&gt;=1,J145,I145)+IF(#REF!&gt;=2,S145,R145)+IF(#REF!&gt;=3,AB145,AA145)+IF(#REF!&gt;=4,AK145,AJ145)+IF(#REF!&gt;=5,AT145,AS145)+IF(#REF!&gt;=6,BB145,BA145)+IF(#REF!&gt;=7,BJ145,BI145)+IF(#REF!&gt;=8,BR145,BQ145)+IF(#REF!&gt;=9,BZ145,BY145)+IF(#REF!&gt;=10,CH145,CG145)+IF(#REF!&gt;=11,CP145,CO145)+IF(#REF!&gt;=12,CX145,CW145)</f>
        <v>#REF!</v>
      </c>
      <c r="DD145" s="52" t="e">
        <f t="shared" si="331"/>
        <v>#REF!</v>
      </c>
      <c r="DE145" s="113">
        <f>IF(DB145=0,0,DD145/DB145)</f>
        <v>0</v>
      </c>
    </row>
    <row r="146" spans="1:109" ht="15.75" hidden="1">
      <c r="A146" s="98" t="s">
        <v>197</v>
      </c>
      <c r="B146" s="48" t="s">
        <v>198</v>
      </c>
      <c r="C146" s="42" t="s">
        <v>191</v>
      </c>
      <c r="D146" s="17"/>
      <c r="E146" s="17"/>
      <c r="F146" s="17"/>
      <c r="G146" s="17"/>
      <c r="H146" s="17"/>
      <c r="I146" s="17"/>
      <c r="J146" s="17"/>
      <c r="K146" s="52">
        <f t="shared" si="332"/>
        <v>0</v>
      </c>
      <c r="L146" s="109">
        <f t="shared" si="319"/>
        <v>0</v>
      </c>
      <c r="M146" s="17"/>
      <c r="N146" s="17"/>
      <c r="O146" s="17"/>
      <c r="P146" s="17"/>
      <c r="Q146" s="17"/>
      <c r="R146" s="17"/>
      <c r="S146" s="17"/>
      <c r="T146" s="52">
        <f t="shared" si="320"/>
        <v>0</v>
      </c>
      <c r="U146" s="109">
        <f>IF(R146=0,0,T146/R146)</f>
        <v>0</v>
      </c>
      <c r="V146" s="17"/>
      <c r="W146" s="17"/>
      <c r="X146" s="17"/>
      <c r="Y146" s="17"/>
      <c r="Z146" s="17"/>
      <c r="AA146" s="17"/>
      <c r="AB146" s="17"/>
      <c r="AC146" s="52">
        <f t="shared" si="321"/>
        <v>0</v>
      </c>
      <c r="AD146" s="109">
        <f>IF(AA146=0,0,AC146/AA146)</f>
        <v>0</v>
      </c>
      <c r="AE146" s="17"/>
      <c r="AF146" s="17"/>
      <c r="AG146" s="17"/>
      <c r="AH146" s="17"/>
      <c r="AI146" s="17"/>
      <c r="AJ146" s="17"/>
      <c r="AK146" s="17"/>
      <c r="AL146" s="52">
        <f t="shared" si="322"/>
        <v>0</v>
      </c>
      <c r="AM146" s="109">
        <f>IF(AJ146=0,0,AL146/AJ146)</f>
        <v>0</v>
      </c>
      <c r="AN146" s="17"/>
      <c r="AO146" s="17"/>
      <c r="AP146" s="17"/>
      <c r="AQ146" s="17"/>
      <c r="AR146" s="17"/>
      <c r="AS146" s="17"/>
      <c r="AT146" s="17"/>
      <c r="AU146" s="52">
        <f t="shared" si="323"/>
        <v>0</v>
      </c>
      <c r="AV146" s="109">
        <f>IF(AS146=0,0,AU146/AS146)</f>
        <v>0</v>
      </c>
      <c r="AW146" s="17"/>
      <c r="AX146" s="17"/>
      <c r="AY146" s="17"/>
      <c r="AZ146" s="17"/>
      <c r="BA146" s="17"/>
      <c r="BB146" s="17"/>
      <c r="BC146" s="52">
        <f t="shared" si="324"/>
        <v>0</v>
      </c>
      <c r="BD146" s="109">
        <f>IF(BA146=0,0,BC146/BA146)</f>
        <v>0</v>
      </c>
      <c r="BE146" s="17"/>
      <c r="BF146" s="17"/>
      <c r="BG146" s="17"/>
      <c r="BH146" s="17"/>
      <c r="BI146" s="17"/>
      <c r="BJ146" s="17"/>
      <c r="BK146" s="52">
        <f t="shared" si="325"/>
        <v>0</v>
      </c>
      <c r="BL146" s="109">
        <f>IF(BI146=0,0,BK146/BI146)</f>
        <v>0</v>
      </c>
      <c r="BM146" s="17"/>
      <c r="BN146" s="17"/>
      <c r="BO146" s="17"/>
      <c r="BP146" s="17"/>
      <c r="BQ146" s="17"/>
      <c r="BR146" s="17"/>
      <c r="BS146" s="52">
        <f t="shared" si="326"/>
        <v>0</v>
      </c>
      <c r="BT146" s="109">
        <f>IF(BQ146=0,0,BS146/BQ146)</f>
        <v>0</v>
      </c>
      <c r="BU146" s="17"/>
      <c r="BV146" s="17"/>
      <c r="BW146" s="17"/>
      <c r="BX146" s="17"/>
      <c r="BY146" s="17"/>
      <c r="BZ146" s="17"/>
      <c r="CA146" s="52">
        <f t="shared" si="327"/>
        <v>0</v>
      </c>
      <c r="CB146" s="109">
        <f>IF(BY146=0,0,CA146/BY146)</f>
        <v>0</v>
      </c>
      <c r="CC146" s="17"/>
      <c r="CD146" s="17"/>
      <c r="CE146" s="17"/>
      <c r="CF146" s="17"/>
      <c r="CG146" s="17"/>
      <c r="CH146" s="141"/>
      <c r="CI146" s="52">
        <f t="shared" si="328"/>
        <v>0</v>
      </c>
      <c r="CJ146" s="109">
        <f>IF(CG146=0,0,CI146/CG146)</f>
        <v>0</v>
      </c>
      <c r="CK146" s="17"/>
      <c r="CL146" s="17"/>
      <c r="CM146" s="17"/>
      <c r="CN146" s="17"/>
      <c r="CO146" s="17"/>
      <c r="CP146" s="17"/>
      <c r="CQ146" s="52">
        <f t="shared" si="329"/>
        <v>0</v>
      </c>
      <c r="CR146" s="109">
        <f>IF(CO146=0,0,CQ146/CO146)</f>
        <v>0</v>
      </c>
      <c r="CS146" s="17"/>
      <c r="CT146" s="17"/>
      <c r="CU146" s="17"/>
      <c r="CV146" s="17"/>
      <c r="CW146" s="17"/>
      <c r="CX146" s="17"/>
      <c r="CY146" s="52">
        <f t="shared" si="330"/>
        <v>0</v>
      </c>
      <c r="CZ146" s="109">
        <f>IF(CW146=0,0,CY146/CW146)</f>
        <v>0</v>
      </c>
      <c r="DA146" s="50" t="e">
        <f>J146+IF(#REF!&gt;=2,S146,0)+IF(#REF!&gt;=3,AB146,0)+IF(#REF!&gt;=4,AK146,0)+IF(#REF!&gt;=5,AT146,0)+IF(#REF!&gt;=6,BB146,0)+IF(#REF!&gt;=7,BJ146,0)+IF(#REF!&gt;=8,BR146,0)+IF(#REF!&gt;=9,BZ146,0)+IF(#REF!&gt;=10,CH146,0)+IF(#REF!&gt;=11,CP146,0)+IF(#REF!&gt;=12,CX146,0)</f>
        <v>#REF!</v>
      </c>
      <c r="DB146" s="84">
        <f>I146+R146+AA146+AJ146+AS146+BA146+BI146+BQ146+BY146+CG146+CO146+CW146</f>
        <v>0</v>
      </c>
      <c r="DC146" s="106" t="e">
        <f>IF(#REF!&gt;=1,J146,I146)+IF(#REF!&gt;=2,S146,R146)+IF(#REF!&gt;=3,AB146,AA146)+IF(#REF!&gt;=4,AK146,AJ146)+IF(#REF!&gt;=5,AT146,AS146)+IF(#REF!&gt;=6,BB146,BA146)+IF(#REF!&gt;=7,BJ146,BI146)+IF(#REF!&gt;=8,BR146,BQ146)+IF(#REF!&gt;=9,BZ146,BY146)+IF(#REF!&gt;=10,CH146,CG146)+IF(#REF!&gt;=11,CP146,CO146)+IF(#REF!&gt;=12,CX146,CW146)</f>
        <v>#REF!</v>
      </c>
      <c r="DD146" s="52" t="e">
        <f t="shared" si="331"/>
        <v>#REF!</v>
      </c>
      <c r="DE146" s="113">
        <f>IF(DB146=0,0,DD146/DB146)</f>
        <v>0</v>
      </c>
    </row>
    <row r="147" spans="1:109" ht="15" hidden="1">
      <c r="A147" s="98" t="s">
        <v>199</v>
      </c>
      <c r="B147" s="224" t="s">
        <v>200</v>
      </c>
      <c r="C147" s="42" t="s">
        <v>191</v>
      </c>
      <c r="D147" s="55">
        <f>D144-D145-D146</f>
        <v>0</v>
      </c>
      <c r="E147" s="55">
        <f>E144-E145-E146</f>
        <v>0</v>
      </c>
      <c r="F147" s="55"/>
      <c r="G147" s="55"/>
      <c r="H147" s="55"/>
      <c r="I147" s="55">
        <f>I144-I145-I146</f>
        <v>0</v>
      </c>
      <c r="J147" s="55">
        <f>J144-J145-J146</f>
        <v>0</v>
      </c>
      <c r="K147" s="52">
        <f t="shared" si="332"/>
        <v>0</v>
      </c>
      <c r="L147" s="52" t="s">
        <v>250</v>
      </c>
      <c r="M147" s="17">
        <f>M144-M145-M146</f>
        <v>0</v>
      </c>
      <c r="N147" s="55">
        <f>N144-N145-N146</f>
        <v>0</v>
      </c>
      <c r="O147" s="55"/>
      <c r="P147" s="55"/>
      <c r="Q147" s="55"/>
      <c r="R147" s="55">
        <f>R144-R145-R146</f>
        <v>0</v>
      </c>
      <c r="S147" s="55">
        <f>S144-S145-S146</f>
        <v>0</v>
      </c>
      <c r="T147" s="52">
        <f t="shared" si="320"/>
        <v>0</v>
      </c>
      <c r="U147" s="52" t="s">
        <v>250</v>
      </c>
      <c r="V147" s="55">
        <f>V144-V145-V146</f>
        <v>0</v>
      </c>
      <c r="W147" s="55">
        <f>W144-W145-W146</f>
        <v>0</v>
      </c>
      <c r="X147" s="55"/>
      <c r="Y147" s="55"/>
      <c r="Z147" s="55"/>
      <c r="AA147" s="55">
        <f>AA144-AA145-AA146</f>
        <v>0</v>
      </c>
      <c r="AB147" s="55">
        <f>AB144-AB145-AB146</f>
        <v>0</v>
      </c>
      <c r="AC147" s="52">
        <f t="shared" si="321"/>
        <v>0</v>
      </c>
      <c r="AD147" s="52" t="s">
        <v>250</v>
      </c>
      <c r="AE147" s="55">
        <f>AE144-AE145-AE146</f>
        <v>0</v>
      </c>
      <c r="AF147" s="55">
        <f>AF144-AF145-AF146</f>
        <v>0</v>
      </c>
      <c r="AG147" s="55"/>
      <c r="AH147" s="55"/>
      <c r="AI147" s="55"/>
      <c r="AJ147" s="55">
        <f>AJ144-AJ145-AJ146</f>
        <v>0</v>
      </c>
      <c r="AK147" s="55">
        <f>AK144-AK145-AK146</f>
        <v>0</v>
      </c>
      <c r="AL147" s="52">
        <f t="shared" si="322"/>
        <v>0</v>
      </c>
      <c r="AM147" s="52" t="s">
        <v>250</v>
      </c>
      <c r="AN147" s="55">
        <f>AN144-AN145-AN146</f>
        <v>0</v>
      </c>
      <c r="AO147" s="55">
        <f>AO144-AO145-AO146</f>
        <v>0</v>
      </c>
      <c r="AP147" s="55"/>
      <c r="AQ147" s="55"/>
      <c r="AR147" s="55"/>
      <c r="AS147" s="55">
        <f>AS144-AS145-AS146</f>
        <v>0</v>
      </c>
      <c r="AT147" s="55">
        <f>AT144-AT145-AT146</f>
        <v>0</v>
      </c>
      <c r="AU147" s="52">
        <f t="shared" si="323"/>
        <v>0</v>
      </c>
      <c r="AV147" s="52" t="s">
        <v>250</v>
      </c>
      <c r="AW147" s="55">
        <f>AW144-AW145-AW146</f>
        <v>0</v>
      </c>
      <c r="AX147" s="55">
        <f>AX144-AX145-AX146</f>
        <v>0</v>
      </c>
      <c r="AY147" s="55"/>
      <c r="AZ147" s="55"/>
      <c r="BA147" s="55">
        <f>BA144-BA145-BA146</f>
        <v>0</v>
      </c>
      <c r="BB147" s="55">
        <f>BB144-BB145-BB146</f>
        <v>0</v>
      </c>
      <c r="BC147" s="52">
        <f t="shared" si="324"/>
        <v>0</v>
      </c>
      <c r="BD147" s="52" t="s">
        <v>250</v>
      </c>
      <c r="BE147" s="55">
        <f>BE144-BE145-BE146</f>
        <v>0</v>
      </c>
      <c r="BF147" s="55"/>
      <c r="BG147" s="55">
        <f>BG144-BG145-BG146</f>
        <v>0</v>
      </c>
      <c r="BH147" s="55"/>
      <c r="BI147" s="55">
        <f>BI144-BI145-BI146</f>
        <v>0</v>
      </c>
      <c r="BJ147" s="55">
        <f>BJ144-BJ145-BJ146</f>
        <v>0</v>
      </c>
      <c r="BK147" s="52">
        <f t="shared" si="325"/>
        <v>0</v>
      </c>
      <c r="BL147" s="52" t="s">
        <v>250</v>
      </c>
      <c r="BM147" s="55">
        <f>BM144-BM145-BM146</f>
        <v>0</v>
      </c>
      <c r="BN147" s="55">
        <f>BN144-BN145-BN146</f>
        <v>0</v>
      </c>
      <c r="BO147" s="55"/>
      <c r="BP147" s="55"/>
      <c r="BQ147" s="55">
        <f>BQ144-BQ145-BQ146</f>
        <v>0</v>
      </c>
      <c r="BR147" s="55">
        <f>BR144-BR145-BR146</f>
        <v>0</v>
      </c>
      <c r="BS147" s="52">
        <f t="shared" si="326"/>
        <v>0</v>
      </c>
      <c r="BT147" s="52" t="s">
        <v>250</v>
      </c>
      <c r="BU147" s="55">
        <f>BU144-BU145-BU146</f>
        <v>0</v>
      </c>
      <c r="BV147" s="55">
        <f>BV144-BV145-BV146</f>
        <v>0</v>
      </c>
      <c r="BW147" s="55"/>
      <c r="BX147" s="55"/>
      <c r="BY147" s="55">
        <f>BY144-BY145-BY146</f>
        <v>0</v>
      </c>
      <c r="BZ147" s="55">
        <f>BZ144-BZ145-BZ146</f>
        <v>0</v>
      </c>
      <c r="CA147" s="52">
        <f t="shared" si="327"/>
        <v>0</v>
      </c>
      <c r="CB147" s="52" t="s">
        <v>250</v>
      </c>
      <c r="CC147" s="55">
        <f>CC144-CC145-CC146</f>
        <v>0</v>
      </c>
      <c r="CD147" s="55">
        <f>CD144-CD145-CD146</f>
        <v>0</v>
      </c>
      <c r="CE147" s="55"/>
      <c r="CF147" s="55"/>
      <c r="CG147" s="55">
        <f>CG144-CG145-CG146</f>
        <v>0</v>
      </c>
      <c r="CH147" s="180">
        <f>CH144-CH145-CH146</f>
        <v>0</v>
      </c>
      <c r="CI147" s="52">
        <f t="shared" si="328"/>
        <v>0</v>
      </c>
      <c r="CJ147" s="52" t="s">
        <v>250</v>
      </c>
      <c r="CK147" s="55">
        <f>CK144-CK145-CK146</f>
        <v>0</v>
      </c>
      <c r="CL147" s="55">
        <f>CL144-CL145-CL146</f>
        <v>0</v>
      </c>
      <c r="CM147" s="55"/>
      <c r="CN147" s="55"/>
      <c r="CO147" s="55">
        <f>CO144-CO145-CO146</f>
        <v>0</v>
      </c>
      <c r="CP147" s="55">
        <f>CP144-CP145-CP146</f>
        <v>0</v>
      </c>
      <c r="CQ147" s="52">
        <f t="shared" si="329"/>
        <v>0</v>
      </c>
      <c r="CR147" s="52" t="s">
        <v>250</v>
      </c>
      <c r="CS147" s="55">
        <f>CS144-CS145-CS146</f>
        <v>0</v>
      </c>
      <c r="CT147" s="55">
        <f>CT144-CT145-CT146</f>
        <v>0</v>
      </c>
      <c r="CU147" s="55"/>
      <c r="CV147" s="55"/>
      <c r="CW147" s="55">
        <f>CW144-CW145-CW146</f>
        <v>0</v>
      </c>
      <c r="CX147" s="55">
        <f>CX144-CX145-CX146</f>
        <v>0</v>
      </c>
      <c r="CY147" s="52">
        <f t="shared" si="330"/>
        <v>0</v>
      </c>
      <c r="CZ147" s="52" t="s">
        <v>250</v>
      </c>
      <c r="DA147" s="55" t="e">
        <f>DA144-DA145-DA146</f>
        <v>#REF!</v>
      </c>
      <c r="DB147" s="92">
        <f>DB144-DB145-DB146</f>
        <v>0</v>
      </c>
      <c r="DC147" s="55" t="e">
        <f>DC144-DC145-DC146</f>
        <v>#REF!</v>
      </c>
      <c r="DD147" s="52" t="e">
        <f t="shared" si="331"/>
        <v>#REF!</v>
      </c>
      <c r="DE147" s="83" t="s">
        <v>250</v>
      </c>
    </row>
    <row r="148" spans="1:109" ht="15" hidden="1">
      <c r="A148" s="98" t="s">
        <v>201</v>
      </c>
      <c r="B148" s="224"/>
      <c r="C148" s="42" t="s">
        <v>202</v>
      </c>
      <c r="D148" s="54">
        <f>IF(D144=0,0,D147/D144)</f>
        <v>0</v>
      </c>
      <c r="E148" s="54">
        <f>IF(E144=0,0,E147/E144)</f>
        <v>0</v>
      </c>
      <c r="F148" s="54"/>
      <c r="G148" s="54"/>
      <c r="H148" s="54"/>
      <c r="I148" s="54">
        <f>IF(I144=0,0,I147/I144)</f>
        <v>0</v>
      </c>
      <c r="J148" s="54">
        <f>IF(J144=0,0,J147/J144)</f>
        <v>0</v>
      </c>
      <c r="K148" s="51">
        <f t="shared" si="332"/>
        <v>0</v>
      </c>
      <c r="L148" s="52" t="s">
        <v>250</v>
      </c>
      <c r="M148" s="17">
        <f>IF(M144=0,0,M147/M144)</f>
        <v>0</v>
      </c>
      <c r="N148" s="54">
        <f>IF(N144=0,0,N147/N144)</f>
        <v>0</v>
      </c>
      <c r="O148" s="54"/>
      <c r="P148" s="54"/>
      <c r="Q148" s="54"/>
      <c r="R148" s="54">
        <f>IF(R144=0,0,R147/R144)</f>
        <v>0</v>
      </c>
      <c r="S148" s="54">
        <f>IF(S144=0,0,S147/S144)</f>
        <v>0</v>
      </c>
      <c r="T148" s="51">
        <f t="shared" si="320"/>
        <v>0</v>
      </c>
      <c r="U148" s="52" t="s">
        <v>250</v>
      </c>
      <c r="V148" s="54">
        <f>IF(V144=0,0,V147/V144)</f>
        <v>0</v>
      </c>
      <c r="W148" s="54">
        <f>IF(W144=0,0,W147/W144)</f>
        <v>0</v>
      </c>
      <c r="X148" s="54"/>
      <c r="Y148" s="54"/>
      <c r="Z148" s="54"/>
      <c r="AA148" s="54">
        <f>IF(AA144=0,0,AA147/AA144)</f>
        <v>0</v>
      </c>
      <c r="AB148" s="54">
        <f>IF(AB144=0,0,AB147/AB144)</f>
        <v>0</v>
      </c>
      <c r="AC148" s="51">
        <f t="shared" si="321"/>
        <v>0</v>
      </c>
      <c r="AD148" s="52" t="s">
        <v>250</v>
      </c>
      <c r="AE148" s="54">
        <f>IF(AE144=0,0,AE147/AE144)</f>
        <v>0</v>
      </c>
      <c r="AF148" s="54">
        <f>IF(AF144=0,0,AF147/AF144)</f>
        <v>0</v>
      </c>
      <c r="AG148" s="54"/>
      <c r="AH148" s="54"/>
      <c r="AI148" s="54"/>
      <c r="AJ148" s="54">
        <f>IF(AJ144=0,0,AJ147/AJ144)</f>
        <v>0</v>
      </c>
      <c r="AK148" s="54">
        <f>IF(AK144=0,0,AK147/AK144)</f>
        <v>0</v>
      </c>
      <c r="AL148" s="51">
        <f t="shared" si="322"/>
        <v>0</v>
      </c>
      <c r="AM148" s="52" t="s">
        <v>250</v>
      </c>
      <c r="AN148" s="54">
        <f>IF(AN144=0,0,AN147/AN144)</f>
        <v>0</v>
      </c>
      <c r="AO148" s="54">
        <f>IF(AO144=0,0,AO147/AO144)</f>
        <v>0</v>
      </c>
      <c r="AP148" s="54"/>
      <c r="AQ148" s="54"/>
      <c r="AR148" s="54"/>
      <c r="AS148" s="54">
        <f>IF(AS144=0,0,AS147/AS144)</f>
        <v>0</v>
      </c>
      <c r="AT148" s="54">
        <f>IF(AT144=0,0,AT147/AT144)</f>
        <v>0</v>
      </c>
      <c r="AU148" s="51">
        <f t="shared" si="323"/>
        <v>0</v>
      </c>
      <c r="AV148" s="52" t="s">
        <v>250</v>
      </c>
      <c r="AW148" s="54">
        <f>IF(AW144=0,0,AW147/AW144)</f>
        <v>0</v>
      </c>
      <c r="AX148" s="54">
        <f>IF(AX144=0,0,AX147/AX144)</f>
        <v>0</v>
      </c>
      <c r="AY148" s="54"/>
      <c r="AZ148" s="54"/>
      <c r="BA148" s="54">
        <f>IF(BA144=0,0,BA147/BA144)</f>
        <v>0</v>
      </c>
      <c r="BB148" s="54">
        <f>IF(BB144=0,0,BB147/BB144)</f>
        <v>0</v>
      </c>
      <c r="BC148" s="51">
        <f t="shared" si="324"/>
        <v>0</v>
      </c>
      <c r="BD148" s="52" t="s">
        <v>250</v>
      </c>
      <c r="BE148" s="54">
        <f>IF(BE144=0,0,BE147/BE144)</f>
        <v>0</v>
      </c>
      <c r="BF148" s="54"/>
      <c r="BG148" s="54">
        <f>IF(BG144=0,0,BG147/BG144)</f>
        <v>0</v>
      </c>
      <c r="BH148" s="54"/>
      <c r="BI148" s="54">
        <f>IF(BI144=0,0,BI147/BI144)</f>
        <v>0</v>
      </c>
      <c r="BJ148" s="54">
        <f>IF(BJ144=0,0,BJ147/BJ144)</f>
        <v>0</v>
      </c>
      <c r="BK148" s="51">
        <f t="shared" si="325"/>
        <v>0</v>
      </c>
      <c r="BL148" s="52" t="s">
        <v>250</v>
      </c>
      <c r="BM148" s="54">
        <f>IF(BM144=0,0,BM147/BM144)</f>
        <v>0</v>
      </c>
      <c r="BN148" s="54">
        <f>IF(BN144=0,0,BN147/BN144)</f>
        <v>0</v>
      </c>
      <c r="BO148" s="54"/>
      <c r="BP148" s="54"/>
      <c r="BQ148" s="54">
        <f>IF(BQ144=0,0,BQ147/BQ144)</f>
        <v>0</v>
      </c>
      <c r="BR148" s="54">
        <f>IF(BR144=0,0,BR147/BR144)</f>
        <v>0</v>
      </c>
      <c r="BS148" s="51">
        <f t="shared" si="326"/>
        <v>0</v>
      </c>
      <c r="BT148" s="52" t="s">
        <v>250</v>
      </c>
      <c r="BU148" s="54">
        <f>IF(BU144=0,0,BU147/BU144)</f>
        <v>0</v>
      </c>
      <c r="BV148" s="54">
        <f>IF(BV144=0,0,BV147/BV144)</f>
        <v>0</v>
      </c>
      <c r="BW148" s="54"/>
      <c r="BX148" s="54"/>
      <c r="BY148" s="54">
        <f>IF(BY144=0,0,BY147/BY144)</f>
        <v>0</v>
      </c>
      <c r="BZ148" s="54">
        <f>IF(BZ144=0,0,BZ147/BZ144)</f>
        <v>0</v>
      </c>
      <c r="CA148" s="51">
        <f t="shared" si="327"/>
        <v>0</v>
      </c>
      <c r="CB148" s="52" t="s">
        <v>250</v>
      </c>
      <c r="CC148" s="54">
        <f>IF(CC144=0,0,CC147/CC144)</f>
        <v>0</v>
      </c>
      <c r="CD148" s="54">
        <f>IF(CD144=0,0,CD147/CD144)</f>
        <v>0</v>
      </c>
      <c r="CE148" s="54"/>
      <c r="CF148" s="54"/>
      <c r="CG148" s="54">
        <f>IF(CG144=0,0,CG147/CG144)</f>
        <v>0</v>
      </c>
      <c r="CH148" s="180">
        <f>IF(CH144=0,0,CH147/CH144)</f>
        <v>0</v>
      </c>
      <c r="CI148" s="51">
        <f t="shared" si="328"/>
        <v>0</v>
      </c>
      <c r="CJ148" s="52" t="s">
        <v>250</v>
      </c>
      <c r="CK148" s="54">
        <f>IF(CK144=0,0,CK147/CK144)</f>
        <v>0</v>
      </c>
      <c r="CL148" s="54">
        <f>IF(CL144=0,0,CL147/CL144)</f>
        <v>0</v>
      </c>
      <c r="CM148" s="54"/>
      <c r="CN148" s="54"/>
      <c r="CO148" s="54">
        <f>IF(CO144=0,0,CO147/CO144)</f>
        <v>0</v>
      </c>
      <c r="CP148" s="54">
        <f>IF(CP144=0,0,CP147/CP144)</f>
        <v>0</v>
      </c>
      <c r="CQ148" s="51">
        <f t="shared" si="329"/>
        <v>0</v>
      </c>
      <c r="CR148" s="52" t="s">
        <v>250</v>
      </c>
      <c r="CS148" s="54">
        <f>IF(CS144=0,0,CS147/CS144)</f>
        <v>0</v>
      </c>
      <c r="CT148" s="54">
        <f>IF(CT144=0,0,CT147/CT144)</f>
        <v>0</v>
      </c>
      <c r="CU148" s="54"/>
      <c r="CV148" s="54"/>
      <c r="CW148" s="54">
        <f>IF(CW144=0,0,CW147/CW144)</f>
        <v>0</v>
      </c>
      <c r="CX148" s="54">
        <f>IF(CX144=0,0,CX147/CX144)</f>
        <v>0</v>
      </c>
      <c r="CY148" s="51">
        <f t="shared" si="330"/>
        <v>0</v>
      </c>
      <c r="CZ148" s="52" t="s">
        <v>250</v>
      </c>
      <c r="DA148" s="54" t="e">
        <f>IF(DA144=0,0,DA147/DA144)</f>
        <v>#REF!</v>
      </c>
      <c r="DB148" s="87">
        <f>IF(DB144=0,0,DB147/DB144)</f>
        <v>0</v>
      </c>
      <c r="DC148" s="54" t="e">
        <f>IF(DC144=0,0,DC147/DC144)</f>
        <v>#REF!</v>
      </c>
      <c r="DD148" s="51" t="e">
        <f t="shared" si="331"/>
        <v>#REF!</v>
      </c>
      <c r="DE148" s="83" t="s">
        <v>250</v>
      </c>
    </row>
    <row r="149" spans="1:109" s="8" customFormat="1" ht="18.75" hidden="1">
      <c r="A149" s="98" t="s">
        <v>203</v>
      </c>
      <c r="B149" s="6" t="s">
        <v>6</v>
      </c>
      <c r="C149" s="6"/>
      <c r="D149" s="43"/>
      <c r="E149" s="43"/>
      <c r="F149" s="43"/>
      <c r="G149" s="43"/>
      <c r="H149" s="43"/>
      <c r="I149" s="43"/>
      <c r="J149" s="43"/>
      <c r="K149" s="43"/>
      <c r="L149" s="43"/>
      <c r="M149" s="17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  <c r="BF149" s="43"/>
      <c r="BG149" s="43"/>
      <c r="BH149" s="43"/>
      <c r="BI149" s="43"/>
      <c r="BJ149" s="43"/>
      <c r="BK149" s="43"/>
      <c r="BL149" s="43"/>
      <c r="BM149" s="43"/>
      <c r="BN149" s="43"/>
      <c r="BO149" s="43"/>
      <c r="BP149" s="43"/>
      <c r="BQ149" s="43"/>
      <c r="BR149" s="43"/>
      <c r="BS149" s="43"/>
      <c r="BT149" s="43"/>
      <c r="BU149" s="43"/>
      <c r="BV149" s="43"/>
      <c r="BW149" s="43"/>
      <c r="BX149" s="43"/>
      <c r="BY149" s="43"/>
      <c r="BZ149" s="43"/>
      <c r="CA149" s="43"/>
      <c r="CB149" s="43"/>
      <c r="CC149" s="43"/>
      <c r="CD149" s="43"/>
      <c r="CE149" s="43"/>
      <c r="CF149" s="43"/>
      <c r="CG149" s="43"/>
      <c r="CH149" s="182"/>
      <c r="CI149" s="43"/>
      <c r="CJ149" s="43"/>
      <c r="CK149" s="43"/>
      <c r="CL149" s="43"/>
      <c r="CM149" s="43"/>
      <c r="CN149" s="43"/>
      <c r="CO149" s="43"/>
      <c r="CP149" s="43"/>
      <c r="CQ149" s="43"/>
      <c r="CR149" s="43"/>
      <c r="CS149" s="43"/>
      <c r="CT149" s="43"/>
      <c r="CU149" s="43"/>
      <c r="CV149" s="43"/>
      <c r="CW149" s="43"/>
      <c r="CX149" s="43"/>
      <c r="CY149" s="43"/>
      <c r="CZ149" s="43"/>
      <c r="DA149" s="43"/>
      <c r="DB149" s="93"/>
      <c r="DC149" s="43"/>
      <c r="DD149" s="43"/>
      <c r="DE149" s="94"/>
    </row>
    <row r="150" spans="1:109" ht="15.75" hidden="1">
      <c r="A150" s="98" t="s">
        <v>204</v>
      </c>
      <c r="B150" s="35" t="s">
        <v>205</v>
      </c>
      <c r="C150" s="10" t="s">
        <v>174</v>
      </c>
      <c r="D150" s="17"/>
      <c r="E150" s="17"/>
      <c r="F150" s="17"/>
      <c r="G150" s="17"/>
      <c r="H150" s="17"/>
      <c r="I150" s="17"/>
      <c r="J150" s="17"/>
      <c r="K150" s="52">
        <f t="shared" si="332"/>
        <v>0</v>
      </c>
      <c r="L150" s="109">
        <f t="shared" si="319"/>
        <v>0</v>
      </c>
      <c r="M150" s="17"/>
      <c r="N150" s="17"/>
      <c r="O150" s="17"/>
      <c r="P150" s="17"/>
      <c r="Q150" s="17"/>
      <c r="R150" s="17"/>
      <c r="S150" s="17"/>
      <c r="T150" s="52">
        <f aca="true" t="shared" si="333" ref="T150:T166">S150-R150</f>
        <v>0</v>
      </c>
      <c r="U150" s="109">
        <f>IF(R150=0,0,T150/R150)</f>
        <v>0</v>
      </c>
      <c r="V150" s="17"/>
      <c r="W150" s="17"/>
      <c r="X150" s="17"/>
      <c r="Y150" s="17"/>
      <c r="Z150" s="17"/>
      <c r="AA150" s="17"/>
      <c r="AB150" s="17"/>
      <c r="AC150" s="52">
        <f aca="true" t="shared" si="334" ref="AC150:AC166">AB150-AA150</f>
        <v>0</v>
      </c>
      <c r="AD150" s="109">
        <f>IF(AA150=0,0,AC150/AA150)</f>
        <v>0</v>
      </c>
      <c r="AE150" s="17"/>
      <c r="AF150" s="17"/>
      <c r="AG150" s="17"/>
      <c r="AH150" s="17"/>
      <c r="AI150" s="17"/>
      <c r="AJ150" s="17"/>
      <c r="AK150" s="17"/>
      <c r="AL150" s="52">
        <f aca="true" t="shared" si="335" ref="AL150:AL166">AK150-AJ150</f>
        <v>0</v>
      </c>
      <c r="AM150" s="109">
        <f>IF(AJ150=0,0,AL150/AJ150)</f>
        <v>0</v>
      </c>
      <c r="AN150" s="17"/>
      <c r="AO150" s="17"/>
      <c r="AP150" s="17"/>
      <c r="AQ150" s="17"/>
      <c r="AR150" s="17"/>
      <c r="AS150" s="17"/>
      <c r="AT150" s="17"/>
      <c r="AU150" s="52">
        <f aca="true" t="shared" si="336" ref="AU150:AU166">AT150-AS150</f>
        <v>0</v>
      </c>
      <c r="AV150" s="109">
        <f>IF(AS150=0,0,AU150/AS150)</f>
        <v>0</v>
      </c>
      <c r="AW150" s="17"/>
      <c r="AX150" s="17"/>
      <c r="AY150" s="17"/>
      <c r="AZ150" s="17"/>
      <c r="BA150" s="17"/>
      <c r="BB150" s="17"/>
      <c r="BC150" s="52">
        <f aca="true" t="shared" si="337" ref="BC150:BC166">BB150-BA150</f>
        <v>0</v>
      </c>
      <c r="BD150" s="109">
        <f>IF(BA150=0,0,BC150/BA150)</f>
        <v>0</v>
      </c>
      <c r="BE150" s="17"/>
      <c r="BF150" s="17"/>
      <c r="BG150" s="17"/>
      <c r="BH150" s="17"/>
      <c r="BI150" s="17"/>
      <c r="BJ150" s="17"/>
      <c r="BK150" s="52">
        <f aca="true" t="shared" si="338" ref="BK150:BK166">BJ150-BI150</f>
        <v>0</v>
      </c>
      <c r="BL150" s="109">
        <f>IF(BI150=0,0,BK150/BI150)</f>
        <v>0</v>
      </c>
      <c r="BM150" s="17"/>
      <c r="BN150" s="17"/>
      <c r="BO150" s="17"/>
      <c r="BP150" s="17"/>
      <c r="BQ150" s="17"/>
      <c r="BR150" s="17"/>
      <c r="BS150" s="52">
        <f aca="true" t="shared" si="339" ref="BS150:BS166">BR150-BQ150</f>
        <v>0</v>
      </c>
      <c r="BT150" s="109">
        <f>IF(BQ150=0,0,BS150/BQ150)</f>
        <v>0</v>
      </c>
      <c r="BU150" s="17"/>
      <c r="BV150" s="17"/>
      <c r="BW150" s="17"/>
      <c r="BX150" s="17"/>
      <c r="BY150" s="17"/>
      <c r="BZ150" s="17"/>
      <c r="CA150" s="52">
        <f aca="true" t="shared" si="340" ref="CA150:CA166">BZ150-BY150</f>
        <v>0</v>
      </c>
      <c r="CB150" s="109">
        <f>IF(BY150=0,0,CA150/BY150)</f>
        <v>0</v>
      </c>
      <c r="CC150" s="17"/>
      <c r="CD150" s="17"/>
      <c r="CE150" s="17"/>
      <c r="CF150" s="17"/>
      <c r="CG150" s="17"/>
      <c r="CH150" s="141"/>
      <c r="CI150" s="52">
        <f aca="true" t="shared" si="341" ref="CI150:CI166">CH150-CG150</f>
        <v>0</v>
      </c>
      <c r="CJ150" s="109">
        <f>IF(CG150=0,0,CI150/CG150)</f>
        <v>0</v>
      </c>
      <c r="CK150" s="17"/>
      <c r="CL150" s="17"/>
      <c r="CM150" s="17"/>
      <c r="CN150" s="17"/>
      <c r="CO150" s="17"/>
      <c r="CP150" s="17"/>
      <c r="CQ150" s="52">
        <f aca="true" t="shared" si="342" ref="CQ150:CQ166">CP150-CO150</f>
        <v>0</v>
      </c>
      <c r="CR150" s="109">
        <f>IF(CO150=0,0,CQ150/CO150)</f>
        <v>0</v>
      </c>
      <c r="CS150" s="17"/>
      <c r="CT150" s="17"/>
      <c r="CU150" s="17"/>
      <c r="CV150" s="17"/>
      <c r="CW150" s="17"/>
      <c r="CX150" s="17"/>
      <c r="CY150" s="52">
        <f aca="true" t="shared" si="343" ref="CY150:CY166">CX150-CW150</f>
        <v>0</v>
      </c>
      <c r="CZ150" s="109">
        <f>IF(CW150=0,0,CY150/CW150)</f>
        <v>0</v>
      </c>
      <c r="DA150" s="52" t="e">
        <f>J150+IF(#REF!&gt;=2,S150,0)+IF(#REF!&gt;=3,AB150,0)+IF(#REF!&gt;=4,AK150,0)+IF(#REF!&gt;=5,AT150,0)+IF(#REF!&gt;=6,BB150,0)+IF(#REF!&gt;=7,BJ150,0)+IF(#REF!&gt;=8,BR150,0)+IF(#REF!&gt;=9,BZ150,0)+IF(#REF!&gt;=10,CH150,0)+IF(#REF!&gt;=11,CP150,0)+IF(#REF!&gt;=12,CX150,0)</f>
        <v>#REF!</v>
      </c>
      <c r="DB150" s="84">
        <f>I150+R150+AA150+AJ150+AS150+BA150+BI150+BQ150+BY150+CG150+CO150+CW150</f>
        <v>0</v>
      </c>
      <c r="DC150" s="106" t="e">
        <f>IF(#REF!&gt;=1,J150,I150)+IF(#REF!&gt;=2,S150,R150)+IF(#REF!&gt;=3,AB150,AA150)+IF(#REF!&gt;=4,AK150,AJ150)+IF(#REF!&gt;=5,AT150,AS150)+IF(#REF!&gt;=6,BB150,BA150)+IF(#REF!&gt;=7,BJ150,BI150)+IF(#REF!&gt;=8,BR150,BQ150)+IF(#REF!&gt;=9,BZ150,BY150)+IF(#REF!&gt;=10,CH150,CG150)+IF(#REF!&gt;=11,CP150,CO150)+IF(#REF!&gt;=12,CX150,CW150)</f>
        <v>#REF!</v>
      </c>
      <c r="DD150" s="52" t="e">
        <f aca="true" t="shared" si="344" ref="DD150:DD166">DC150-DB150</f>
        <v>#REF!</v>
      </c>
      <c r="DE150" s="113">
        <f>IF(DB150=0,0,DD150/DB150)</f>
        <v>0</v>
      </c>
    </row>
    <row r="151" spans="1:109" ht="15.75" hidden="1">
      <c r="A151" s="98" t="s">
        <v>252</v>
      </c>
      <c r="B151" s="35" t="s">
        <v>253</v>
      </c>
      <c r="C151" s="10" t="s">
        <v>174</v>
      </c>
      <c r="D151" s="17"/>
      <c r="E151" s="17"/>
      <c r="F151" s="17"/>
      <c r="G151" s="17"/>
      <c r="H151" s="17"/>
      <c r="I151" s="17"/>
      <c r="J151" s="17"/>
      <c r="K151" s="52">
        <f>J151-I151</f>
        <v>0</v>
      </c>
      <c r="L151" s="109">
        <f>IF(I151=0,0,K151/I151)</f>
        <v>0</v>
      </c>
      <c r="M151" s="52"/>
      <c r="N151" s="17"/>
      <c r="O151" s="17"/>
      <c r="P151" s="17"/>
      <c r="Q151" s="17"/>
      <c r="R151" s="17"/>
      <c r="S151" s="17"/>
      <c r="T151" s="52">
        <f t="shared" si="333"/>
        <v>0</v>
      </c>
      <c r="U151" s="109">
        <f>IF(R151=0,0,T151/R151)</f>
        <v>0</v>
      </c>
      <c r="V151" s="17"/>
      <c r="W151" s="17"/>
      <c r="X151" s="17"/>
      <c r="Y151" s="17"/>
      <c r="Z151" s="17"/>
      <c r="AA151" s="17"/>
      <c r="AB151" s="17"/>
      <c r="AC151" s="52">
        <f t="shared" si="334"/>
        <v>0</v>
      </c>
      <c r="AD151" s="109">
        <f>IF(AA151=0,0,AC151/AA151)</f>
        <v>0</v>
      </c>
      <c r="AE151" s="17"/>
      <c r="AF151" s="17"/>
      <c r="AG151" s="17"/>
      <c r="AH151" s="17"/>
      <c r="AI151" s="17"/>
      <c r="AJ151" s="17"/>
      <c r="AK151" s="17"/>
      <c r="AL151" s="52">
        <f t="shared" si="335"/>
        <v>0</v>
      </c>
      <c r="AM151" s="109">
        <f>IF(AJ151=0,0,AL151/AJ151)</f>
        <v>0</v>
      </c>
      <c r="AN151" s="17"/>
      <c r="AO151" s="17"/>
      <c r="AP151" s="17"/>
      <c r="AQ151" s="17"/>
      <c r="AR151" s="17"/>
      <c r="AS151" s="17"/>
      <c r="AT151" s="17"/>
      <c r="AU151" s="52">
        <f t="shared" si="336"/>
        <v>0</v>
      </c>
      <c r="AV151" s="109">
        <f>IF(AS151=0,0,AU151/AS151)</f>
        <v>0</v>
      </c>
      <c r="AW151" s="17"/>
      <c r="AX151" s="17"/>
      <c r="AY151" s="17"/>
      <c r="AZ151" s="17"/>
      <c r="BA151" s="17"/>
      <c r="BB151" s="17"/>
      <c r="BC151" s="52">
        <f t="shared" si="337"/>
        <v>0</v>
      </c>
      <c r="BD151" s="109">
        <f>IF(BA151=0,0,BC151/BA151)</f>
        <v>0</v>
      </c>
      <c r="BE151" s="17"/>
      <c r="BF151" s="17"/>
      <c r="BG151" s="17"/>
      <c r="BH151" s="17"/>
      <c r="BI151" s="17"/>
      <c r="BJ151" s="17"/>
      <c r="BK151" s="52">
        <f t="shared" si="338"/>
        <v>0</v>
      </c>
      <c r="BL151" s="109">
        <f>IF(BI151=0,0,BK151/BI151)</f>
        <v>0</v>
      </c>
      <c r="BM151" s="17"/>
      <c r="BN151" s="17"/>
      <c r="BO151" s="17"/>
      <c r="BP151" s="17"/>
      <c r="BQ151" s="17"/>
      <c r="BR151" s="17"/>
      <c r="BS151" s="52">
        <f t="shared" si="339"/>
        <v>0</v>
      </c>
      <c r="BT151" s="109">
        <f>IF(BQ151=0,0,BS151/BQ151)</f>
        <v>0</v>
      </c>
      <c r="BU151" s="17"/>
      <c r="BV151" s="17"/>
      <c r="BW151" s="17"/>
      <c r="BX151" s="17"/>
      <c r="BY151" s="17"/>
      <c r="BZ151" s="17"/>
      <c r="CA151" s="52">
        <f t="shared" si="340"/>
        <v>0</v>
      </c>
      <c r="CB151" s="109">
        <f>IF(BY151=0,0,CA151/BY151)</f>
        <v>0</v>
      </c>
      <c r="CC151" s="17"/>
      <c r="CD151" s="17"/>
      <c r="CE151" s="17"/>
      <c r="CF151" s="17"/>
      <c r="CG151" s="17"/>
      <c r="CH151" s="141"/>
      <c r="CI151" s="52">
        <f t="shared" si="341"/>
        <v>0</v>
      </c>
      <c r="CJ151" s="109">
        <f>IF(CG151=0,0,CI151/CG151)</f>
        <v>0</v>
      </c>
      <c r="CK151" s="17"/>
      <c r="CL151" s="17"/>
      <c r="CM151" s="17"/>
      <c r="CN151" s="17"/>
      <c r="CO151" s="17"/>
      <c r="CP151" s="17"/>
      <c r="CQ151" s="52">
        <f t="shared" si="342"/>
        <v>0</v>
      </c>
      <c r="CR151" s="109">
        <f>IF(CO151=0,0,CQ151/CO151)</f>
        <v>0</v>
      </c>
      <c r="CS151" s="17"/>
      <c r="CT151" s="17"/>
      <c r="CU151" s="17"/>
      <c r="CV151" s="17"/>
      <c r="CW151" s="17"/>
      <c r="CX151" s="17"/>
      <c r="CY151" s="52">
        <f t="shared" si="343"/>
        <v>0</v>
      </c>
      <c r="CZ151" s="109">
        <f>IF(CW151=0,0,CY151/CW151)</f>
        <v>0</v>
      </c>
      <c r="DA151" s="52" t="e">
        <f>J151+IF(#REF!&gt;=2,S151,0)+IF(#REF!&gt;=3,AB151,0)+IF(#REF!&gt;=4,AK151,0)+IF(#REF!&gt;=5,AT151,0)+IF(#REF!&gt;=6,BB151,0)+IF(#REF!&gt;=7,BJ151,0)+IF(#REF!&gt;=8,BR151,0)+IF(#REF!&gt;=9,BZ151,0)+IF(#REF!&gt;=10,CH151,0)+IF(#REF!&gt;=11,CP151,0)+IF(#REF!&gt;=12,CX151,0)</f>
        <v>#REF!</v>
      </c>
      <c r="DB151" s="84">
        <f>I151+R151+AA151+AJ151+AS151+BA151+BI151+BQ151+BY151+CG151+CO151+CW151</f>
        <v>0</v>
      </c>
      <c r="DC151" s="106" t="e">
        <f>IF(#REF!&gt;=1,J151,I151)+IF(#REF!&gt;=2,S151,R151)+IF(#REF!&gt;=3,AB151,AA151)+IF(#REF!&gt;=4,AK151,AJ151)+IF(#REF!&gt;=5,AT151,AS151)+IF(#REF!&gt;=6,BB151,BA151)+IF(#REF!&gt;=7,BJ151,BI151)+IF(#REF!&gt;=8,BR151,BQ151)+IF(#REF!&gt;=9,BZ151,BY151)+IF(#REF!&gt;=10,CH151,CG151)+IF(#REF!&gt;=11,CP151,CO151)+IF(#REF!&gt;=12,CX151,CW151)</f>
        <v>#REF!</v>
      </c>
      <c r="DD151" s="52" t="e">
        <f>DC151-DB151</f>
        <v>#REF!</v>
      </c>
      <c r="DE151" s="113">
        <f>IF(DB151=0,0,DD151/DB151)</f>
        <v>0</v>
      </c>
    </row>
    <row r="152" spans="1:109" ht="15.75" hidden="1">
      <c r="A152" s="98" t="s">
        <v>206</v>
      </c>
      <c r="B152" s="35" t="s">
        <v>207</v>
      </c>
      <c r="C152" s="10" t="s">
        <v>174</v>
      </c>
      <c r="D152" s="17"/>
      <c r="E152" s="17"/>
      <c r="F152" s="17"/>
      <c r="G152" s="17"/>
      <c r="H152" s="17"/>
      <c r="I152" s="17"/>
      <c r="J152" s="17"/>
      <c r="K152" s="52">
        <f t="shared" si="332"/>
        <v>0</v>
      </c>
      <c r="L152" s="109">
        <f t="shared" si="319"/>
        <v>0</v>
      </c>
      <c r="M152" s="32"/>
      <c r="N152" s="17"/>
      <c r="O152" s="17"/>
      <c r="P152" s="17"/>
      <c r="Q152" s="17"/>
      <c r="R152" s="17"/>
      <c r="S152" s="17"/>
      <c r="T152" s="52">
        <f t="shared" si="333"/>
        <v>0</v>
      </c>
      <c r="U152" s="109">
        <f>IF(R152=0,0,T152/R152)</f>
        <v>0</v>
      </c>
      <c r="V152" s="17"/>
      <c r="W152" s="17"/>
      <c r="X152" s="17"/>
      <c r="Y152" s="17"/>
      <c r="Z152" s="17"/>
      <c r="AA152" s="17"/>
      <c r="AB152" s="17"/>
      <c r="AC152" s="52">
        <f t="shared" si="334"/>
        <v>0</v>
      </c>
      <c r="AD152" s="109">
        <f>IF(AA152=0,0,AC152/AA152)</f>
        <v>0</v>
      </c>
      <c r="AE152" s="17"/>
      <c r="AF152" s="17"/>
      <c r="AG152" s="17"/>
      <c r="AH152" s="17"/>
      <c r="AI152" s="17"/>
      <c r="AJ152" s="17"/>
      <c r="AK152" s="17"/>
      <c r="AL152" s="52">
        <f t="shared" si="335"/>
        <v>0</v>
      </c>
      <c r="AM152" s="109">
        <f>IF(AJ152=0,0,AL152/AJ152)</f>
        <v>0</v>
      </c>
      <c r="AN152" s="17"/>
      <c r="AO152" s="17"/>
      <c r="AP152" s="17"/>
      <c r="AQ152" s="17"/>
      <c r="AR152" s="17"/>
      <c r="AS152" s="17"/>
      <c r="AT152" s="17"/>
      <c r="AU152" s="52">
        <f t="shared" si="336"/>
        <v>0</v>
      </c>
      <c r="AV152" s="109">
        <f>IF(AS152=0,0,AU152/AS152)</f>
        <v>0</v>
      </c>
      <c r="AW152" s="17"/>
      <c r="AX152" s="17"/>
      <c r="AY152" s="17"/>
      <c r="AZ152" s="17"/>
      <c r="BA152" s="17"/>
      <c r="BB152" s="17"/>
      <c r="BC152" s="52">
        <f t="shared" si="337"/>
        <v>0</v>
      </c>
      <c r="BD152" s="109">
        <f>IF(BA152=0,0,BC152/BA152)</f>
        <v>0</v>
      </c>
      <c r="BE152" s="17"/>
      <c r="BF152" s="17"/>
      <c r="BG152" s="17"/>
      <c r="BH152" s="17"/>
      <c r="BI152" s="17"/>
      <c r="BJ152" s="17"/>
      <c r="BK152" s="52">
        <f t="shared" si="338"/>
        <v>0</v>
      </c>
      <c r="BL152" s="109">
        <f>IF(BI152=0,0,BK152/BI152)</f>
        <v>0</v>
      </c>
      <c r="BM152" s="17"/>
      <c r="BN152" s="17"/>
      <c r="BO152" s="17"/>
      <c r="BP152" s="17"/>
      <c r="BQ152" s="17"/>
      <c r="BR152" s="17"/>
      <c r="BS152" s="52">
        <f t="shared" si="339"/>
        <v>0</v>
      </c>
      <c r="BT152" s="109">
        <f>IF(BQ152=0,0,BS152/BQ152)</f>
        <v>0</v>
      </c>
      <c r="BU152" s="17"/>
      <c r="BV152" s="17"/>
      <c r="BW152" s="17"/>
      <c r="BX152" s="17"/>
      <c r="BY152" s="17"/>
      <c r="BZ152" s="17"/>
      <c r="CA152" s="52">
        <f t="shared" si="340"/>
        <v>0</v>
      </c>
      <c r="CB152" s="109">
        <f>IF(BY152=0,0,CA152/BY152)</f>
        <v>0</v>
      </c>
      <c r="CC152" s="17"/>
      <c r="CD152" s="17"/>
      <c r="CE152" s="17"/>
      <c r="CF152" s="17"/>
      <c r="CG152" s="17"/>
      <c r="CH152" s="141"/>
      <c r="CI152" s="52">
        <f t="shared" si="341"/>
        <v>0</v>
      </c>
      <c r="CJ152" s="109">
        <f>IF(CG152=0,0,CI152/CG152)</f>
        <v>0</v>
      </c>
      <c r="CK152" s="17"/>
      <c r="CL152" s="17"/>
      <c r="CM152" s="17"/>
      <c r="CN152" s="17"/>
      <c r="CO152" s="17"/>
      <c r="CP152" s="17"/>
      <c r="CQ152" s="52">
        <f t="shared" si="342"/>
        <v>0</v>
      </c>
      <c r="CR152" s="109">
        <f>IF(CO152=0,0,CQ152/CO152)</f>
        <v>0</v>
      </c>
      <c r="CS152" s="17"/>
      <c r="CT152" s="17"/>
      <c r="CU152" s="17"/>
      <c r="CV152" s="17"/>
      <c r="CW152" s="17"/>
      <c r="CX152" s="17"/>
      <c r="CY152" s="52">
        <f t="shared" si="343"/>
        <v>0</v>
      </c>
      <c r="CZ152" s="109">
        <f>IF(CW152=0,0,CY152/CW152)</f>
        <v>0</v>
      </c>
      <c r="DA152" s="52" t="e">
        <f>J152+IF(#REF!&gt;=2,S152,0)+IF(#REF!&gt;=3,AB152,0)+IF(#REF!&gt;=4,AK152,0)+IF(#REF!&gt;=5,AT152,0)+IF(#REF!&gt;=6,BB152,0)+IF(#REF!&gt;=7,BJ152,0)+IF(#REF!&gt;=8,BR152,0)+IF(#REF!&gt;=9,BZ152,0)+IF(#REF!&gt;=10,CH152,0)+IF(#REF!&gt;=11,CP152,0)+IF(#REF!&gt;=12,CX152,0)</f>
        <v>#REF!</v>
      </c>
      <c r="DB152" s="84">
        <f>I152+R152+AA152+AJ152+AS152+BA152+BI152+BQ152+BY152+CG152+CO152+CW152</f>
        <v>0</v>
      </c>
      <c r="DC152" s="106" t="e">
        <f>IF(#REF!&gt;=1,J152,I152)+IF(#REF!&gt;=2,S152,R152)+IF(#REF!&gt;=3,AB152,AA152)+IF(#REF!&gt;=4,AK152,AJ152)+IF(#REF!&gt;=5,AT152,AS152)+IF(#REF!&gt;=6,BB152,BA152)+IF(#REF!&gt;=7,BJ152,BI152)+IF(#REF!&gt;=8,BR152,BQ152)+IF(#REF!&gt;=9,BZ152,BY152)+IF(#REF!&gt;=10,CH152,CG152)+IF(#REF!&gt;=11,CP152,CO152)+IF(#REF!&gt;=12,CX152,CW152)</f>
        <v>#REF!</v>
      </c>
      <c r="DD152" s="52" t="e">
        <f t="shared" si="344"/>
        <v>#REF!</v>
      </c>
      <c r="DE152" s="113">
        <f>IF(DB152=0,0,DD152/DB152)</f>
        <v>0</v>
      </c>
    </row>
    <row r="153" spans="1:109" ht="15.75" hidden="1">
      <c r="A153" s="98" t="s">
        <v>208</v>
      </c>
      <c r="B153" s="224" t="s">
        <v>209</v>
      </c>
      <c r="C153" s="10" t="s">
        <v>174</v>
      </c>
      <c r="D153" s="17"/>
      <c r="E153" s="17"/>
      <c r="F153" s="17"/>
      <c r="G153" s="17"/>
      <c r="H153" s="17"/>
      <c r="I153" s="17"/>
      <c r="J153" s="17"/>
      <c r="K153" s="52">
        <f t="shared" si="332"/>
        <v>0</v>
      </c>
      <c r="L153" s="52" t="s">
        <v>250</v>
      </c>
      <c r="M153" s="33"/>
      <c r="N153" s="17"/>
      <c r="O153" s="17"/>
      <c r="P153" s="17"/>
      <c r="Q153" s="17"/>
      <c r="R153" s="17"/>
      <c r="S153" s="17"/>
      <c r="T153" s="52">
        <f t="shared" si="333"/>
        <v>0</v>
      </c>
      <c r="U153" s="52" t="s">
        <v>250</v>
      </c>
      <c r="V153" s="17"/>
      <c r="W153" s="17"/>
      <c r="X153" s="17"/>
      <c r="Y153" s="17"/>
      <c r="Z153" s="17"/>
      <c r="AA153" s="17"/>
      <c r="AB153" s="17"/>
      <c r="AC153" s="52">
        <f t="shared" si="334"/>
        <v>0</v>
      </c>
      <c r="AD153" s="52" t="s">
        <v>250</v>
      </c>
      <c r="AE153" s="17"/>
      <c r="AF153" s="17"/>
      <c r="AG153" s="17"/>
      <c r="AH153" s="17"/>
      <c r="AI153" s="17"/>
      <c r="AJ153" s="17"/>
      <c r="AK153" s="17"/>
      <c r="AL153" s="52">
        <f t="shared" si="335"/>
        <v>0</v>
      </c>
      <c r="AM153" s="52" t="s">
        <v>250</v>
      </c>
      <c r="AN153" s="17"/>
      <c r="AO153" s="17"/>
      <c r="AP153" s="17"/>
      <c r="AQ153" s="17"/>
      <c r="AR153" s="17"/>
      <c r="AS153" s="17"/>
      <c r="AT153" s="17"/>
      <c r="AU153" s="52">
        <f t="shared" si="336"/>
        <v>0</v>
      </c>
      <c r="AV153" s="52" t="s">
        <v>250</v>
      </c>
      <c r="AW153" s="17"/>
      <c r="AX153" s="17"/>
      <c r="AY153" s="17"/>
      <c r="AZ153" s="17"/>
      <c r="BA153" s="17"/>
      <c r="BB153" s="17"/>
      <c r="BC153" s="52">
        <f t="shared" si="337"/>
        <v>0</v>
      </c>
      <c r="BD153" s="52" t="s">
        <v>250</v>
      </c>
      <c r="BE153" s="17"/>
      <c r="BF153" s="17"/>
      <c r="BG153" s="17"/>
      <c r="BH153" s="17"/>
      <c r="BI153" s="17"/>
      <c r="BJ153" s="17"/>
      <c r="BK153" s="52">
        <f t="shared" si="338"/>
        <v>0</v>
      </c>
      <c r="BL153" s="52" t="s">
        <v>250</v>
      </c>
      <c r="BM153" s="17"/>
      <c r="BN153" s="17"/>
      <c r="BO153" s="17"/>
      <c r="BP153" s="17"/>
      <c r="BQ153" s="17"/>
      <c r="BR153" s="17"/>
      <c r="BS153" s="52">
        <f t="shared" si="339"/>
        <v>0</v>
      </c>
      <c r="BT153" s="52" t="s">
        <v>250</v>
      </c>
      <c r="BU153" s="17"/>
      <c r="BV153" s="17"/>
      <c r="BW153" s="17"/>
      <c r="BX153" s="17"/>
      <c r="BY153" s="17"/>
      <c r="BZ153" s="17"/>
      <c r="CA153" s="52">
        <f t="shared" si="340"/>
        <v>0</v>
      </c>
      <c r="CB153" s="52" t="s">
        <v>250</v>
      </c>
      <c r="CC153" s="17"/>
      <c r="CD153" s="17"/>
      <c r="CE153" s="17"/>
      <c r="CF153" s="17"/>
      <c r="CG153" s="17"/>
      <c r="CH153" s="141"/>
      <c r="CI153" s="52">
        <f t="shared" si="341"/>
        <v>0</v>
      </c>
      <c r="CJ153" s="52" t="s">
        <v>250</v>
      </c>
      <c r="CK153" s="17"/>
      <c r="CL153" s="17"/>
      <c r="CM153" s="17"/>
      <c r="CN153" s="17"/>
      <c r="CO153" s="17"/>
      <c r="CP153" s="17"/>
      <c r="CQ153" s="52">
        <f t="shared" si="342"/>
        <v>0</v>
      </c>
      <c r="CR153" s="52" t="s">
        <v>250</v>
      </c>
      <c r="CS153" s="17"/>
      <c r="CT153" s="17"/>
      <c r="CU153" s="17"/>
      <c r="CV153" s="17"/>
      <c r="CW153" s="17"/>
      <c r="CX153" s="17"/>
      <c r="CY153" s="52">
        <f t="shared" si="343"/>
        <v>0</v>
      </c>
      <c r="CZ153" s="52" t="s">
        <v>250</v>
      </c>
      <c r="DA153" s="52" t="e">
        <f>J153+IF(#REF!&gt;=2,S153,0)+IF(#REF!&gt;=3,AB153,0)+IF(#REF!&gt;=4,AK153,0)+IF(#REF!&gt;=5,AT153,0)+IF(#REF!&gt;=6,BB153,0)+IF(#REF!&gt;=7,BJ153,0)+IF(#REF!&gt;=8,BR153,0)+IF(#REF!&gt;=9,BZ153,0)+IF(#REF!&gt;=10,CH153,0)+IF(#REF!&gt;=11,CP153,0)+IF(#REF!&gt;=12,CX153,0)</f>
        <v>#REF!</v>
      </c>
      <c r="DB153" s="84">
        <f>I153+R153+AA153+AJ153+AS153+BA153+BI153+BQ153+BY153+CG153+CO153+CW153</f>
        <v>0</v>
      </c>
      <c r="DC153" s="106" t="e">
        <f>IF(#REF!&gt;=1,J153,I153)+IF(#REF!&gt;=2,S153,R153)+IF(#REF!&gt;=3,AB153,AA153)+IF(#REF!&gt;=4,AK153,AJ153)+IF(#REF!&gt;=5,AT153,AS153)+IF(#REF!&gt;=6,BB153,BA153)+IF(#REF!&gt;=7,BJ153,BI153)+IF(#REF!&gt;=8,BR153,BQ153)+IF(#REF!&gt;=9,BZ153,BY153)+IF(#REF!&gt;=10,CH153,CG153)+IF(#REF!&gt;=11,CP153,CO153)+IF(#REF!&gt;=12,CX153,CW153)</f>
        <v>#REF!</v>
      </c>
      <c r="DD153" s="52" t="e">
        <f t="shared" si="344"/>
        <v>#REF!</v>
      </c>
      <c r="DE153" s="83" t="s">
        <v>250</v>
      </c>
    </row>
    <row r="154" spans="1:109" ht="15.75" hidden="1">
      <c r="A154" s="98" t="s">
        <v>210</v>
      </c>
      <c r="B154" s="224"/>
      <c r="C154" s="10" t="s">
        <v>1</v>
      </c>
      <c r="D154" s="51">
        <f>IF(D150=0,0,D153/D150)</f>
        <v>0</v>
      </c>
      <c r="E154" s="51">
        <f>IF(E150=0,0,E153/E150)</f>
        <v>0</v>
      </c>
      <c r="F154" s="51"/>
      <c r="G154" s="51"/>
      <c r="H154" s="51"/>
      <c r="I154" s="51">
        <f>IF(I150=0,0,I153/I150)</f>
        <v>0</v>
      </c>
      <c r="J154" s="51">
        <f>IF(J150=0,0,J153/J150)</f>
        <v>0</v>
      </c>
      <c r="K154" s="51">
        <f t="shared" si="332"/>
        <v>0</v>
      </c>
      <c r="L154" s="52" t="s">
        <v>250</v>
      </c>
      <c r="M154" s="33">
        <f>IF(M150=0,0,M153/M150)</f>
        <v>0</v>
      </c>
      <c r="N154" s="51">
        <f>IF(N150=0,0,N153/N150)</f>
        <v>0</v>
      </c>
      <c r="O154" s="51"/>
      <c r="P154" s="51"/>
      <c r="Q154" s="51"/>
      <c r="R154" s="51">
        <f>IF(R150=0,0,R153/R150)</f>
        <v>0</v>
      </c>
      <c r="S154" s="51">
        <f>IF(S150=0,0,S153/S150)</f>
        <v>0</v>
      </c>
      <c r="T154" s="51">
        <f t="shared" si="333"/>
        <v>0</v>
      </c>
      <c r="U154" s="52" t="s">
        <v>250</v>
      </c>
      <c r="V154" s="51">
        <f>IF(V150=0,0,V153/V150)</f>
        <v>0</v>
      </c>
      <c r="W154" s="51">
        <f>IF(W150=0,0,W153/W150)</f>
        <v>0</v>
      </c>
      <c r="X154" s="51"/>
      <c r="Y154" s="51"/>
      <c r="Z154" s="51"/>
      <c r="AA154" s="51">
        <f>IF(AA150=0,0,AA153/AA150)</f>
        <v>0</v>
      </c>
      <c r="AB154" s="51">
        <f>IF(AB150=0,0,AB153/AB150)</f>
        <v>0</v>
      </c>
      <c r="AC154" s="51">
        <f t="shared" si="334"/>
        <v>0</v>
      </c>
      <c r="AD154" s="52" t="s">
        <v>250</v>
      </c>
      <c r="AE154" s="51">
        <f>IF(AE150=0,0,AE153/AE150)</f>
        <v>0</v>
      </c>
      <c r="AF154" s="51">
        <f>IF(AF150=0,0,AF153/AF150)</f>
        <v>0</v>
      </c>
      <c r="AG154" s="51"/>
      <c r="AH154" s="51"/>
      <c r="AI154" s="51"/>
      <c r="AJ154" s="51">
        <f>IF(AJ150=0,0,AJ153/AJ150)</f>
        <v>0</v>
      </c>
      <c r="AK154" s="51">
        <f>IF(AK150=0,0,AK153/AK150)</f>
        <v>0</v>
      </c>
      <c r="AL154" s="51">
        <f t="shared" si="335"/>
        <v>0</v>
      </c>
      <c r="AM154" s="52" t="s">
        <v>250</v>
      </c>
      <c r="AN154" s="51">
        <f>IF(AN150=0,0,AN153/AN150)</f>
        <v>0</v>
      </c>
      <c r="AO154" s="51">
        <f>IF(AO150=0,0,AO153/AO150)</f>
        <v>0</v>
      </c>
      <c r="AP154" s="51"/>
      <c r="AQ154" s="51"/>
      <c r="AR154" s="51"/>
      <c r="AS154" s="51">
        <f>IF(AS150=0,0,AS153/AS150)</f>
        <v>0</v>
      </c>
      <c r="AT154" s="51">
        <f>IF(AT150=0,0,AT153/AT150)</f>
        <v>0</v>
      </c>
      <c r="AU154" s="51">
        <f t="shared" si="336"/>
        <v>0</v>
      </c>
      <c r="AV154" s="52" t="s">
        <v>250</v>
      </c>
      <c r="AW154" s="51">
        <f>IF(AW150=0,0,AW153/AW150)</f>
        <v>0</v>
      </c>
      <c r="AX154" s="51">
        <f>IF(AX150=0,0,AX153/AX150)</f>
        <v>0</v>
      </c>
      <c r="AY154" s="51"/>
      <c r="AZ154" s="51"/>
      <c r="BA154" s="51">
        <f>IF(BA150=0,0,BA153/BA150)</f>
        <v>0</v>
      </c>
      <c r="BB154" s="51">
        <f>IF(BB150=0,0,BB153/BB150)</f>
        <v>0</v>
      </c>
      <c r="BC154" s="51">
        <f t="shared" si="337"/>
        <v>0</v>
      </c>
      <c r="BD154" s="52" t="s">
        <v>250</v>
      </c>
      <c r="BE154" s="51">
        <f>IF(BE150=0,0,BE153/BE150)</f>
        <v>0</v>
      </c>
      <c r="BF154" s="51"/>
      <c r="BG154" s="51">
        <f>IF(BG150=0,0,BG153/BG150)</f>
        <v>0</v>
      </c>
      <c r="BH154" s="51"/>
      <c r="BI154" s="51">
        <f>IF(BI150=0,0,BI153/BI150)</f>
        <v>0</v>
      </c>
      <c r="BJ154" s="51">
        <f>IF(BJ150=0,0,BJ153/BJ150)</f>
        <v>0</v>
      </c>
      <c r="BK154" s="51">
        <f t="shared" si="338"/>
        <v>0</v>
      </c>
      <c r="BL154" s="52" t="s">
        <v>250</v>
      </c>
      <c r="BM154" s="51">
        <f>IF(BM150=0,0,BM153/BM150)</f>
        <v>0</v>
      </c>
      <c r="BN154" s="51">
        <f>IF(BN150=0,0,BN153/BN150)</f>
        <v>0</v>
      </c>
      <c r="BO154" s="51"/>
      <c r="BP154" s="51"/>
      <c r="BQ154" s="51">
        <f>IF(BQ150=0,0,BQ153/BQ150)</f>
        <v>0</v>
      </c>
      <c r="BR154" s="51">
        <f>IF(BR150=0,0,BR153/BR150)</f>
        <v>0</v>
      </c>
      <c r="BS154" s="51">
        <f t="shared" si="339"/>
        <v>0</v>
      </c>
      <c r="BT154" s="52" t="s">
        <v>250</v>
      </c>
      <c r="BU154" s="51">
        <f>IF(BU150=0,0,BU153/BU150)</f>
        <v>0</v>
      </c>
      <c r="BV154" s="51">
        <f>IF(BV150=0,0,BV153/BV150)</f>
        <v>0</v>
      </c>
      <c r="BW154" s="51"/>
      <c r="BX154" s="51"/>
      <c r="BY154" s="51">
        <f>IF(BY150=0,0,BY153/BY150)</f>
        <v>0</v>
      </c>
      <c r="BZ154" s="51">
        <f>IF(BZ150=0,0,BZ153/BZ150)</f>
        <v>0</v>
      </c>
      <c r="CA154" s="51">
        <f t="shared" si="340"/>
        <v>0</v>
      </c>
      <c r="CB154" s="52" t="s">
        <v>250</v>
      </c>
      <c r="CC154" s="51">
        <f>IF(CC150=0,0,CC153/CC150)</f>
        <v>0</v>
      </c>
      <c r="CD154" s="51">
        <f>IF(CD150=0,0,CD153/CD150)</f>
        <v>0</v>
      </c>
      <c r="CE154" s="51"/>
      <c r="CF154" s="51"/>
      <c r="CG154" s="51">
        <f>IF(CG150=0,0,CG153/CG150)</f>
        <v>0</v>
      </c>
      <c r="CH154" s="152">
        <f>IF(CH150=0,0,CH153/CH150)</f>
        <v>0</v>
      </c>
      <c r="CI154" s="51">
        <f t="shared" si="341"/>
        <v>0</v>
      </c>
      <c r="CJ154" s="52" t="s">
        <v>250</v>
      </c>
      <c r="CK154" s="51">
        <f>IF(CK150=0,0,CK153/CK150)</f>
        <v>0</v>
      </c>
      <c r="CL154" s="51">
        <f>IF(CL150=0,0,CL153/CL150)</f>
        <v>0</v>
      </c>
      <c r="CM154" s="51"/>
      <c r="CN154" s="51"/>
      <c r="CO154" s="51">
        <f>IF(CO150=0,0,CO153/CO150)</f>
        <v>0</v>
      </c>
      <c r="CP154" s="51">
        <f>IF(CP150=0,0,CP153/CP150)</f>
        <v>0</v>
      </c>
      <c r="CQ154" s="51">
        <f t="shared" si="342"/>
        <v>0</v>
      </c>
      <c r="CR154" s="52" t="s">
        <v>250</v>
      </c>
      <c r="CS154" s="51">
        <f>IF(CS150=0,0,CS153/CS150)</f>
        <v>0</v>
      </c>
      <c r="CT154" s="51">
        <f>IF(CT150=0,0,CT153/CT150)</f>
        <v>0</v>
      </c>
      <c r="CU154" s="51"/>
      <c r="CV154" s="51"/>
      <c r="CW154" s="51">
        <f>IF(CW150=0,0,CW153/CW150)</f>
        <v>0</v>
      </c>
      <c r="CX154" s="51">
        <f>IF(CX150=0,0,CX153/CX150)</f>
        <v>0</v>
      </c>
      <c r="CY154" s="51">
        <f t="shared" si="343"/>
        <v>0</v>
      </c>
      <c r="CZ154" s="52" t="s">
        <v>250</v>
      </c>
      <c r="DA154" s="51" t="e">
        <f>IF(DA150=0,0,DA153/DA150)</f>
        <v>#REF!</v>
      </c>
      <c r="DB154" s="85">
        <f>IF(DB150=0,0,DB153/DB150)</f>
        <v>0</v>
      </c>
      <c r="DC154" s="51" t="e">
        <f>IF(DC150=0,0,DC153/DC150)</f>
        <v>#REF!</v>
      </c>
      <c r="DD154" s="51" t="e">
        <f t="shared" si="344"/>
        <v>#REF!</v>
      </c>
      <c r="DE154" s="83" t="s">
        <v>250</v>
      </c>
    </row>
    <row r="155" spans="1:109" ht="15.75" hidden="1">
      <c r="A155" s="98" t="s">
        <v>211</v>
      </c>
      <c r="B155" s="35" t="s">
        <v>212</v>
      </c>
      <c r="C155" s="10" t="s">
        <v>174</v>
      </c>
      <c r="D155" s="17"/>
      <c r="E155" s="17"/>
      <c r="F155" s="17"/>
      <c r="G155" s="17"/>
      <c r="H155" s="17"/>
      <c r="I155" s="17"/>
      <c r="J155" s="17"/>
      <c r="K155" s="52">
        <f t="shared" si="332"/>
        <v>0</v>
      </c>
      <c r="L155" s="109">
        <f t="shared" si="319"/>
        <v>0</v>
      </c>
      <c r="M155" s="17"/>
      <c r="N155" s="17"/>
      <c r="O155" s="17"/>
      <c r="P155" s="17"/>
      <c r="Q155" s="17"/>
      <c r="R155" s="17"/>
      <c r="S155" s="17"/>
      <c r="T155" s="52">
        <f t="shared" si="333"/>
        <v>0</v>
      </c>
      <c r="U155" s="109">
        <f>IF(R155=0,0,T155/R155)</f>
        <v>0</v>
      </c>
      <c r="V155" s="17"/>
      <c r="W155" s="17"/>
      <c r="X155" s="17"/>
      <c r="Y155" s="17"/>
      <c r="Z155" s="17"/>
      <c r="AA155" s="17"/>
      <c r="AB155" s="17"/>
      <c r="AC155" s="52">
        <f t="shared" si="334"/>
        <v>0</v>
      </c>
      <c r="AD155" s="109">
        <f>IF(AA155=0,0,AC155/AA155)</f>
        <v>0</v>
      </c>
      <c r="AE155" s="17"/>
      <c r="AF155" s="17"/>
      <c r="AG155" s="17"/>
      <c r="AH155" s="17"/>
      <c r="AI155" s="17"/>
      <c r="AJ155" s="17"/>
      <c r="AK155" s="17"/>
      <c r="AL155" s="52">
        <f t="shared" si="335"/>
        <v>0</v>
      </c>
      <c r="AM155" s="109">
        <f>IF(AJ155=0,0,AL155/AJ155)</f>
        <v>0</v>
      </c>
      <c r="AN155" s="17"/>
      <c r="AO155" s="17"/>
      <c r="AP155" s="17"/>
      <c r="AQ155" s="17"/>
      <c r="AR155" s="17"/>
      <c r="AS155" s="17"/>
      <c r="AT155" s="17"/>
      <c r="AU155" s="52">
        <f t="shared" si="336"/>
        <v>0</v>
      </c>
      <c r="AV155" s="109">
        <f>IF(AS155=0,0,AU155/AS155)</f>
        <v>0</v>
      </c>
      <c r="AW155" s="17"/>
      <c r="AX155" s="17"/>
      <c r="AY155" s="17"/>
      <c r="AZ155" s="17"/>
      <c r="BA155" s="17"/>
      <c r="BB155" s="17"/>
      <c r="BC155" s="52">
        <f t="shared" si="337"/>
        <v>0</v>
      </c>
      <c r="BD155" s="109">
        <f>IF(BA155=0,0,BC155/BA155)</f>
        <v>0</v>
      </c>
      <c r="BE155" s="17"/>
      <c r="BF155" s="17"/>
      <c r="BG155" s="17"/>
      <c r="BH155" s="17"/>
      <c r="BI155" s="17"/>
      <c r="BJ155" s="17"/>
      <c r="BK155" s="52">
        <f t="shared" si="338"/>
        <v>0</v>
      </c>
      <c r="BL155" s="109">
        <f>IF(BI155=0,0,BK155/BI155)</f>
        <v>0</v>
      </c>
      <c r="BM155" s="17"/>
      <c r="BN155" s="17"/>
      <c r="BO155" s="17"/>
      <c r="BP155" s="17"/>
      <c r="BQ155" s="17"/>
      <c r="BR155" s="17"/>
      <c r="BS155" s="52">
        <f t="shared" si="339"/>
        <v>0</v>
      </c>
      <c r="BT155" s="109">
        <f>IF(BQ155=0,0,BS155/BQ155)</f>
        <v>0</v>
      </c>
      <c r="BU155" s="17"/>
      <c r="BV155" s="17"/>
      <c r="BW155" s="17"/>
      <c r="BX155" s="17"/>
      <c r="BY155" s="17"/>
      <c r="BZ155" s="17"/>
      <c r="CA155" s="52">
        <f t="shared" si="340"/>
        <v>0</v>
      </c>
      <c r="CB155" s="109">
        <f>IF(BY155=0,0,CA155/BY155)</f>
        <v>0</v>
      </c>
      <c r="CC155" s="17"/>
      <c r="CD155" s="17"/>
      <c r="CE155" s="17"/>
      <c r="CF155" s="17"/>
      <c r="CG155" s="17"/>
      <c r="CH155" s="141"/>
      <c r="CI155" s="52">
        <f t="shared" si="341"/>
        <v>0</v>
      </c>
      <c r="CJ155" s="109">
        <f>IF(CG155=0,0,CI155/CG155)</f>
        <v>0</v>
      </c>
      <c r="CK155" s="17"/>
      <c r="CL155" s="17"/>
      <c r="CM155" s="17"/>
      <c r="CN155" s="17"/>
      <c r="CO155" s="17"/>
      <c r="CP155" s="17"/>
      <c r="CQ155" s="52">
        <f t="shared" si="342"/>
        <v>0</v>
      </c>
      <c r="CR155" s="109">
        <f>IF(CO155=0,0,CQ155/CO155)</f>
        <v>0</v>
      </c>
      <c r="CS155" s="17"/>
      <c r="CT155" s="17"/>
      <c r="CU155" s="17"/>
      <c r="CV155" s="17"/>
      <c r="CW155" s="17"/>
      <c r="CX155" s="17"/>
      <c r="CY155" s="52">
        <f t="shared" si="343"/>
        <v>0</v>
      </c>
      <c r="CZ155" s="109">
        <f>IF(CW155=0,0,CY155/CW155)</f>
        <v>0</v>
      </c>
      <c r="DA155" s="52" t="e">
        <f>J155+IF(#REF!&gt;=2,S155,0)+IF(#REF!&gt;=3,AB155,0)+IF(#REF!&gt;=4,AK155,0)+IF(#REF!&gt;=5,AT155,0)+IF(#REF!&gt;=6,BB155,0)+IF(#REF!&gt;=7,BJ155,0)+IF(#REF!&gt;=8,BR155,0)+IF(#REF!&gt;=9,BZ155,0)+IF(#REF!&gt;=10,CH155,0)+IF(#REF!&gt;=11,CP155,0)+IF(#REF!&gt;=12,CX155,0)</f>
        <v>#REF!</v>
      </c>
      <c r="DB155" s="84">
        <f>I155+R155+AA155+AJ155+AS155+BA155+BI155+BQ155+BY155+CG155+CO155+CW155</f>
        <v>0</v>
      </c>
      <c r="DC155" s="106" t="e">
        <f>IF(#REF!&gt;=1,J155,I155)+IF(#REF!&gt;=2,S155,R155)+IF(#REF!&gt;=3,AB155,AA155)+IF(#REF!&gt;=4,AK155,AJ155)+IF(#REF!&gt;=5,AT155,AS155)+IF(#REF!&gt;=6,BB155,BA155)+IF(#REF!&gt;=7,BJ155,BI155)+IF(#REF!&gt;=8,BR155,BQ155)+IF(#REF!&gt;=9,BZ155,BY155)+IF(#REF!&gt;=10,CH155,CG155)+IF(#REF!&gt;=11,CP155,CO155)+IF(#REF!&gt;=12,CX155,CW155)</f>
        <v>#REF!</v>
      </c>
      <c r="DD155" s="52" t="e">
        <f t="shared" si="344"/>
        <v>#REF!</v>
      </c>
      <c r="DE155" s="113">
        <f>IF(DB155=0,0,DD155/DB155)</f>
        <v>0</v>
      </c>
    </row>
    <row r="156" spans="1:109" ht="15.75" hidden="1">
      <c r="A156" s="98" t="s">
        <v>213</v>
      </c>
      <c r="B156" s="35" t="s">
        <v>214</v>
      </c>
      <c r="C156" s="10" t="s">
        <v>174</v>
      </c>
      <c r="D156" s="52">
        <f>D150-D152-D153+D155</f>
        <v>0</v>
      </c>
      <c r="E156" s="52">
        <f>E150-E152-E153+E155</f>
        <v>0</v>
      </c>
      <c r="F156" s="52"/>
      <c r="G156" s="52"/>
      <c r="H156" s="52"/>
      <c r="I156" s="52">
        <f>I150-I152-I153+I155</f>
        <v>0</v>
      </c>
      <c r="J156" s="52">
        <f>J150-J152-J153+J155</f>
        <v>0</v>
      </c>
      <c r="K156" s="52">
        <f t="shared" si="332"/>
        <v>0</v>
      </c>
      <c r="L156" s="109">
        <f t="shared" si="319"/>
        <v>0</v>
      </c>
      <c r="M156" s="17">
        <f>M150-M152-M153+M155</f>
        <v>0</v>
      </c>
      <c r="N156" s="52">
        <f>N150-N152-N153+N155</f>
        <v>0</v>
      </c>
      <c r="O156" s="52"/>
      <c r="P156" s="52"/>
      <c r="Q156" s="52"/>
      <c r="R156" s="52">
        <f>R150-R152-R153+R155</f>
        <v>0</v>
      </c>
      <c r="S156" s="52">
        <f>S150-S152-S153+S155</f>
        <v>0</v>
      </c>
      <c r="T156" s="52">
        <f t="shared" si="333"/>
        <v>0</v>
      </c>
      <c r="U156" s="109">
        <f>IF(R156=0,0,T156/R156)</f>
        <v>0</v>
      </c>
      <c r="V156" s="52">
        <f>V150-V152-V153+V155</f>
        <v>0</v>
      </c>
      <c r="W156" s="52">
        <f>W150-W152-W153+W155</f>
        <v>0</v>
      </c>
      <c r="X156" s="52"/>
      <c r="Y156" s="52"/>
      <c r="Z156" s="52"/>
      <c r="AA156" s="52">
        <f>AA150-AA152-AA153+AA155</f>
        <v>0</v>
      </c>
      <c r="AB156" s="52">
        <f>AB150-AB152-AB153+AB155</f>
        <v>0</v>
      </c>
      <c r="AC156" s="52">
        <f t="shared" si="334"/>
        <v>0</v>
      </c>
      <c r="AD156" s="109">
        <f>IF(AA156=0,0,AC156/AA156)</f>
        <v>0</v>
      </c>
      <c r="AE156" s="52">
        <f>AE150-AE152-AE153+AE155</f>
        <v>0</v>
      </c>
      <c r="AF156" s="52">
        <f>AF150-AF152-AF153+AF155</f>
        <v>0</v>
      </c>
      <c r="AG156" s="52"/>
      <c r="AH156" s="52"/>
      <c r="AI156" s="52"/>
      <c r="AJ156" s="52">
        <f>AJ150-AJ152-AJ153+AJ155</f>
        <v>0</v>
      </c>
      <c r="AK156" s="52">
        <f>AK150-AK152-AK153+AK155</f>
        <v>0</v>
      </c>
      <c r="AL156" s="52">
        <f t="shared" si="335"/>
        <v>0</v>
      </c>
      <c r="AM156" s="109">
        <f>IF(AJ156=0,0,AL156/AJ156)</f>
        <v>0</v>
      </c>
      <c r="AN156" s="52">
        <f>AN150-AN152-AN153+AN155</f>
        <v>0</v>
      </c>
      <c r="AO156" s="52">
        <f>AO150-AO152-AO153+AO155</f>
        <v>0</v>
      </c>
      <c r="AP156" s="52"/>
      <c r="AQ156" s="52"/>
      <c r="AR156" s="52"/>
      <c r="AS156" s="52">
        <f>AS150-AS152-AS153+AS155</f>
        <v>0</v>
      </c>
      <c r="AT156" s="52">
        <f>AT150-AT152-AT153+AT155</f>
        <v>0</v>
      </c>
      <c r="AU156" s="52">
        <f t="shared" si="336"/>
        <v>0</v>
      </c>
      <c r="AV156" s="109">
        <f>IF(AS156=0,0,AU156/AS156)</f>
        <v>0</v>
      </c>
      <c r="AW156" s="52">
        <f>AW150-AW152-AW153+AW155</f>
        <v>0</v>
      </c>
      <c r="AX156" s="52">
        <f>AX150-AX152-AX153+AX155</f>
        <v>0</v>
      </c>
      <c r="AY156" s="52"/>
      <c r="AZ156" s="52"/>
      <c r="BA156" s="52">
        <f>BA150-BA152-BA153+BA155</f>
        <v>0</v>
      </c>
      <c r="BB156" s="52">
        <f>BB150-BB152-BB153+BB155</f>
        <v>0</v>
      </c>
      <c r="BC156" s="52">
        <f t="shared" si="337"/>
        <v>0</v>
      </c>
      <c r="BD156" s="109">
        <f>IF(BA156=0,0,BC156/BA156)</f>
        <v>0</v>
      </c>
      <c r="BE156" s="52">
        <f>BE150-BE152-BE153+BE155</f>
        <v>0</v>
      </c>
      <c r="BF156" s="52"/>
      <c r="BG156" s="52">
        <f>BG150-BG152-BG153+BG155</f>
        <v>0</v>
      </c>
      <c r="BH156" s="52"/>
      <c r="BI156" s="52">
        <f>BI150-BI152-BI153+BI155</f>
        <v>0</v>
      </c>
      <c r="BJ156" s="52">
        <f>BJ150-BJ152-BJ153+BJ155</f>
        <v>0</v>
      </c>
      <c r="BK156" s="52">
        <f t="shared" si="338"/>
        <v>0</v>
      </c>
      <c r="BL156" s="109">
        <f>IF(BI156=0,0,BK156/BI156)</f>
        <v>0</v>
      </c>
      <c r="BM156" s="52">
        <f>BM150-BM152-BM153+BM155</f>
        <v>0</v>
      </c>
      <c r="BN156" s="52">
        <f>BN150-BN152-BN153+BN155</f>
        <v>0</v>
      </c>
      <c r="BO156" s="52"/>
      <c r="BP156" s="52"/>
      <c r="BQ156" s="52">
        <f>BQ150-BQ152-BQ153+BQ155</f>
        <v>0</v>
      </c>
      <c r="BR156" s="52">
        <f>BR150-BR152-BR153+BR155</f>
        <v>0</v>
      </c>
      <c r="BS156" s="52">
        <f t="shared" si="339"/>
        <v>0</v>
      </c>
      <c r="BT156" s="109">
        <f>IF(BQ156=0,0,BS156/BQ156)</f>
        <v>0</v>
      </c>
      <c r="BU156" s="52">
        <f>BU150-BU152-BU153+BU155</f>
        <v>0</v>
      </c>
      <c r="BV156" s="52">
        <f>BV150-BV152-BV153+BV155</f>
        <v>0</v>
      </c>
      <c r="BW156" s="52"/>
      <c r="BX156" s="52"/>
      <c r="BY156" s="52">
        <f>BY150-BY152-BY153+BY155</f>
        <v>0</v>
      </c>
      <c r="BZ156" s="52">
        <f>BZ150-BZ152-BZ153+BZ155</f>
        <v>0</v>
      </c>
      <c r="CA156" s="52">
        <f t="shared" si="340"/>
        <v>0</v>
      </c>
      <c r="CB156" s="109">
        <f>IF(BY156=0,0,CA156/BY156)</f>
        <v>0</v>
      </c>
      <c r="CC156" s="52">
        <f>CC150-CC152-CC153+CC155</f>
        <v>0</v>
      </c>
      <c r="CD156" s="52">
        <f>CD150-CD152-CD153+CD155</f>
        <v>0</v>
      </c>
      <c r="CE156" s="52"/>
      <c r="CF156" s="52"/>
      <c r="CG156" s="52">
        <f>CG150-CG152-CG153+CG155</f>
        <v>0</v>
      </c>
      <c r="CH156" s="152">
        <f>CH150-CH152-CH153+CH155</f>
        <v>0</v>
      </c>
      <c r="CI156" s="52">
        <f t="shared" si="341"/>
        <v>0</v>
      </c>
      <c r="CJ156" s="109">
        <f>IF(CG156=0,0,CI156/CG156)</f>
        <v>0</v>
      </c>
      <c r="CK156" s="52">
        <f>CK150-CK152-CK153+CK155</f>
        <v>0</v>
      </c>
      <c r="CL156" s="52">
        <f>CL150-CL152-CL153+CL155</f>
        <v>0</v>
      </c>
      <c r="CM156" s="52"/>
      <c r="CN156" s="52"/>
      <c r="CO156" s="52">
        <f>CO150-CO152-CO153+CO155</f>
        <v>0</v>
      </c>
      <c r="CP156" s="52">
        <f>CP150-CP152-CP153+CP155</f>
        <v>0</v>
      </c>
      <c r="CQ156" s="52">
        <f t="shared" si="342"/>
        <v>0</v>
      </c>
      <c r="CR156" s="109">
        <f>IF(CO156=0,0,CQ156/CO156)</f>
        <v>0</v>
      </c>
      <c r="CS156" s="52">
        <f>CS150-CS152-CS153+CS155</f>
        <v>0</v>
      </c>
      <c r="CT156" s="52">
        <f>CT150-CT152-CT153+CT155</f>
        <v>0</v>
      </c>
      <c r="CU156" s="52"/>
      <c r="CV156" s="52"/>
      <c r="CW156" s="52">
        <f>CW150-CW152-CW153+CW155</f>
        <v>0</v>
      </c>
      <c r="CX156" s="52">
        <f>CX150-CX152-CX153+CX155</f>
        <v>0</v>
      </c>
      <c r="CY156" s="52">
        <f t="shared" si="343"/>
        <v>0</v>
      </c>
      <c r="CZ156" s="109">
        <f>IF(CW156=0,0,CY156/CW156)</f>
        <v>0</v>
      </c>
      <c r="DA156" s="52" t="e">
        <f>DA150-DA152-DA153+DA155</f>
        <v>#REF!</v>
      </c>
      <c r="DB156" s="84">
        <f>DB150-DB152-DB153+DB155</f>
        <v>0</v>
      </c>
      <c r="DC156" s="52" t="e">
        <f>DC150-DC152-DC153+DC155</f>
        <v>#REF!</v>
      </c>
      <c r="DD156" s="52" t="e">
        <f t="shared" si="344"/>
        <v>#REF!</v>
      </c>
      <c r="DE156" s="113">
        <f>IF(DB156=0,0,DD156/DB156)</f>
        <v>0</v>
      </c>
    </row>
    <row r="157" spans="1:109" ht="15.75" hidden="1">
      <c r="A157" s="98" t="s">
        <v>215</v>
      </c>
      <c r="B157" s="220" t="s">
        <v>35</v>
      </c>
      <c r="C157" s="10" t="s">
        <v>174</v>
      </c>
      <c r="D157" s="52">
        <f>D158*D156</f>
        <v>0</v>
      </c>
      <c r="E157" s="52">
        <f>E158*E156</f>
        <v>0</v>
      </c>
      <c r="F157" s="52"/>
      <c r="G157" s="52"/>
      <c r="H157" s="52"/>
      <c r="I157" s="52">
        <f>I158*I156</f>
        <v>0</v>
      </c>
      <c r="J157" s="52">
        <f>J158*J156</f>
        <v>0</v>
      </c>
      <c r="K157" s="52">
        <f t="shared" si="332"/>
        <v>0</v>
      </c>
      <c r="L157" s="52" t="s">
        <v>250</v>
      </c>
      <c r="M157" s="52">
        <f>M158*M156</f>
        <v>0</v>
      </c>
      <c r="N157" s="52">
        <f>N158*N156</f>
        <v>0</v>
      </c>
      <c r="O157" s="52"/>
      <c r="P157" s="52"/>
      <c r="Q157" s="52"/>
      <c r="R157" s="52">
        <f>R158*R156</f>
        <v>0</v>
      </c>
      <c r="S157" s="52">
        <f>S158*S156</f>
        <v>0</v>
      </c>
      <c r="T157" s="52">
        <f t="shared" si="333"/>
        <v>0</v>
      </c>
      <c r="U157" s="52" t="s">
        <v>250</v>
      </c>
      <c r="V157" s="52">
        <f>V158*V156</f>
        <v>0</v>
      </c>
      <c r="W157" s="52">
        <f>W158*W156</f>
        <v>0</v>
      </c>
      <c r="X157" s="52"/>
      <c r="Y157" s="52"/>
      <c r="Z157" s="52"/>
      <c r="AA157" s="52">
        <f>AA158*AA156</f>
        <v>0</v>
      </c>
      <c r="AB157" s="52">
        <f>AB158*AB156</f>
        <v>0</v>
      </c>
      <c r="AC157" s="52">
        <f t="shared" si="334"/>
        <v>0</v>
      </c>
      <c r="AD157" s="52" t="s">
        <v>250</v>
      </c>
      <c r="AE157" s="52">
        <f>AE158*AE156</f>
        <v>0</v>
      </c>
      <c r="AF157" s="52">
        <f>AF158*AF156</f>
        <v>0</v>
      </c>
      <c r="AG157" s="52"/>
      <c r="AH157" s="52"/>
      <c r="AI157" s="52"/>
      <c r="AJ157" s="52">
        <f>AJ158*AJ156</f>
        <v>0</v>
      </c>
      <c r="AK157" s="52">
        <f>AK158*AK156</f>
        <v>0</v>
      </c>
      <c r="AL157" s="52">
        <f t="shared" si="335"/>
        <v>0</v>
      </c>
      <c r="AM157" s="52" t="s">
        <v>250</v>
      </c>
      <c r="AN157" s="52">
        <f>AN158*AN156</f>
        <v>0</v>
      </c>
      <c r="AO157" s="52">
        <f>AO158*AO156</f>
        <v>0</v>
      </c>
      <c r="AP157" s="52"/>
      <c r="AQ157" s="52"/>
      <c r="AR157" s="52"/>
      <c r="AS157" s="52">
        <f>AS158*AS156</f>
        <v>0</v>
      </c>
      <c r="AT157" s="52">
        <f>AT158*AT156</f>
        <v>0</v>
      </c>
      <c r="AU157" s="52">
        <f t="shared" si="336"/>
        <v>0</v>
      </c>
      <c r="AV157" s="52" t="s">
        <v>250</v>
      </c>
      <c r="AW157" s="52">
        <f>AW158*AW156</f>
        <v>0</v>
      </c>
      <c r="AX157" s="52">
        <f>AX158*AX156</f>
        <v>0</v>
      </c>
      <c r="AY157" s="52"/>
      <c r="AZ157" s="52"/>
      <c r="BA157" s="52">
        <f>BA158*BA156</f>
        <v>0</v>
      </c>
      <c r="BB157" s="52">
        <f>BB158*BB156</f>
        <v>0</v>
      </c>
      <c r="BC157" s="52">
        <f t="shared" si="337"/>
        <v>0</v>
      </c>
      <c r="BD157" s="52" t="s">
        <v>250</v>
      </c>
      <c r="BE157" s="52">
        <f>BE158*BE156</f>
        <v>0</v>
      </c>
      <c r="BF157" s="52"/>
      <c r="BG157" s="52">
        <f>BG158*BG156</f>
        <v>0</v>
      </c>
      <c r="BH157" s="52"/>
      <c r="BI157" s="52">
        <f>BI158*BI156</f>
        <v>0</v>
      </c>
      <c r="BJ157" s="52">
        <f>BJ158*BJ156</f>
        <v>0</v>
      </c>
      <c r="BK157" s="52">
        <f t="shared" si="338"/>
        <v>0</v>
      </c>
      <c r="BL157" s="52" t="s">
        <v>250</v>
      </c>
      <c r="BM157" s="52">
        <f>BM158*BM156</f>
        <v>0</v>
      </c>
      <c r="BN157" s="52">
        <f>BN158*BN156</f>
        <v>0</v>
      </c>
      <c r="BO157" s="52"/>
      <c r="BP157" s="52"/>
      <c r="BQ157" s="52">
        <f>BQ158*BQ156</f>
        <v>0</v>
      </c>
      <c r="BR157" s="52">
        <f>BR158*BR156</f>
        <v>0</v>
      </c>
      <c r="BS157" s="52">
        <f t="shared" si="339"/>
        <v>0</v>
      </c>
      <c r="BT157" s="52" t="s">
        <v>250</v>
      </c>
      <c r="BU157" s="52">
        <f>BU158*BU156</f>
        <v>0</v>
      </c>
      <c r="BV157" s="52">
        <f>BV158*BV156</f>
        <v>0</v>
      </c>
      <c r="BW157" s="52"/>
      <c r="BX157" s="52"/>
      <c r="BY157" s="52">
        <f>BY158*BY156</f>
        <v>0</v>
      </c>
      <c r="BZ157" s="52">
        <f>BZ158*BZ156</f>
        <v>0</v>
      </c>
      <c r="CA157" s="52">
        <f t="shared" si="340"/>
        <v>0</v>
      </c>
      <c r="CB157" s="52" t="s">
        <v>250</v>
      </c>
      <c r="CC157" s="52">
        <f>CC158*CC156</f>
        <v>0</v>
      </c>
      <c r="CD157" s="52">
        <f>CD158*CD156</f>
        <v>0</v>
      </c>
      <c r="CE157" s="52"/>
      <c r="CF157" s="52"/>
      <c r="CG157" s="52">
        <f>CG158*CG156</f>
        <v>0</v>
      </c>
      <c r="CH157" s="152">
        <f>CH158*CH156</f>
        <v>0</v>
      </c>
      <c r="CI157" s="52">
        <f t="shared" si="341"/>
        <v>0</v>
      </c>
      <c r="CJ157" s="52" t="s">
        <v>250</v>
      </c>
      <c r="CK157" s="52">
        <f>CK158*CK156</f>
        <v>0</v>
      </c>
      <c r="CL157" s="52">
        <f>CL158*CL156</f>
        <v>0</v>
      </c>
      <c r="CM157" s="52"/>
      <c r="CN157" s="52"/>
      <c r="CO157" s="52">
        <f>CO158*CO156</f>
        <v>0</v>
      </c>
      <c r="CP157" s="52">
        <f>CP158*CP156</f>
        <v>0</v>
      </c>
      <c r="CQ157" s="52">
        <f t="shared" si="342"/>
        <v>0</v>
      </c>
      <c r="CR157" s="52" t="s">
        <v>250</v>
      </c>
      <c r="CS157" s="52">
        <f>CS158*CS156</f>
        <v>0</v>
      </c>
      <c r="CT157" s="52">
        <f>CT158*CT156</f>
        <v>0</v>
      </c>
      <c r="CU157" s="52"/>
      <c r="CV157" s="52"/>
      <c r="CW157" s="52">
        <f>CW158*CW156</f>
        <v>0</v>
      </c>
      <c r="CX157" s="52">
        <f>CX158*CX156</f>
        <v>0</v>
      </c>
      <c r="CY157" s="52">
        <f t="shared" si="343"/>
        <v>0</v>
      </c>
      <c r="CZ157" s="52" t="s">
        <v>250</v>
      </c>
      <c r="DA157" s="52" t="e">
        <f>J157+IF(#REF!&gt;=2,S157,0)+IF(#REF!&gt;=3,AB157,0)+IF(#REF!&gt;=4,AK157,0)+IF(#REF!&gt;=5,AT157,0)+IF(#REF!&gt;=6,BB157,0)+IF(#REF!&gt;=7,BJ157,0)+IF(#REF!&gt;=8,BR157,0)+IF(#REF!&gt;=9,BZ157,0)+IF(#REF!&gt;=10,CH157,0)+IF(#REF!&gt;=11,CP157,0)+IF(#REF!&gt;=12,CX157,0)</f>
        <v>#REF!</v>
      </c>
      <c r="DB157" s="84">
        <f>I157+R157+AA157+AJ157+AS157+BA157+BI157+BQ157+BY157+CG157+CO157+CW157</f>
        <v>0</v>
      </c>
      <c r="DC157" s="106" t="e">
        <f>IF(#REF!&gt;=1,J157,I157)+IF(#REF!&gt;=2,S157,R157)+IF(#REF!&gt;=3,AB157,AA157)+IF(#REF!&gt;=4,AK157,AJ157)+IF(#REF!&gt;=5,AT157,AS157)+IF(#REF!&gt;=6,BB157,BA157)+IF(#REF!&gt;=7,BJ157,BI157)+IF(#REF!&gt;=8,BR157,BQ157)+IF(#REF!&gt;=9,BZ157,BY157)+IF(#REF!&gt;=10,CH157,CG157)+IF(#REF!&gt;=11,CP157,CO157)+IF(#REF!&gt;=12,CX157,CW157)</f>
        <v>#REF!</v>
      </c>
      <c r="DD157" s="52" t="e">
        <f t="shared" si="344"/>
        <v>#REF!</v>
      </c>
      <c r="DE157" s="83" t="s">
        <v>250</v>
      </c>
    </row>
    <row r="158" spans="1:109" ht="15.75" hidden="1">
      <c r="A158" s="98" t="s">
        <v>216</v>
      </c>
      <c r="B158" s="220"/>
      <c r="C158" s="10" t="s">
        <v>1</v>
      </c>
      <c r="D158" s="21"/>
      <c r="E158" s="21"/>
      <c r="F158" s="21"/>
      <c r="G158" s="21"/>
      <c r="H158" s="21"/>
      <c r="I158" s="21"/>
      <c r="J158" s="21"/>
      <c r="K158" s="51">
        <f t="shared" si="332"/>
        <v>0</v>
      </c>
      <c r="L158" s="52" t="s">
        <v>250</v>
      </c>
      <c r="M158" s="32"/>
      <c r="N158" s="21"/>
      <c r="O158" s="21"/>
      <c r="P158" s="21"/>
      <c r="Q158" s="21"/>
      <c r="R158" s="21"/>
      <c r="S158" s="21"/>
      <c r="T158" s="51">
        <f t="shared" si="333"/>
        <v>0</v>
      </c>
      <c r="U158" s="52" t="s">
        <v>250</v>
      </c>
      <c r="V158" s="21"/>
      <c r="W158" s="21"/>
      <c r="X158" s="21"/>
      <c r="Y158" s="21"/>
      <c r="Z158" s="21"/>
      <c r="AA158" s="21"/>
      <c r="AB158" s="21"/>
      <c r="AC158" s="51">
        <f t="shared" si="334"/>
        <v>0</v>
      </c>
      <c r="AD158" s="52" t="s">
        <v>250</v>
      </c>
      <c r="AE158" s="21"/>
      <c r="AF158" s="21"/>
      <c r="AG158" s="21"/>
      <c r="AH158" s="21"/>
      <c r="AI158" s="21"/>
      <c r="AJ158" s="21"/>
      <c r="AK158" s="21"/>
      <c r="AL158" s="51">
        <f t="shared" si="335"/>
        <v>0</v>
      </c>
      <c r="AM158" s="52" t="s">
        <v>250</v>
      </c>
      <c r="AN158" s="21"/>
      <c r="AO158" s="21"/>
      <c r="AP158" s="21"/>
      <c r="AQ158" s="21"/>
      <c r="AR158" s="21"/>
      <c r="AS158" s="21"/>
      <c r="AT158" s="21"/>
      <c r="AU158" s="51">
        <f t="shared" si="336"/>
        <v>0</v>
      </c>
      <c r="AV158" s="52" t="s">
        <v>250</v>
      </c>
      <c r="AW158" s="21"/>
      <c r="AX158" s="21"/>
      <c r="AY158" s="21"/>
      <c r="AZ158" s="21"/>
      <c r="BA158" s="21"/>
      <c r="BB158" s="21"/>
      <c r="BC158" s="51">
        <f t="shared" si="337"/>
        <v>0</v>
      </c>
      <c r="BD158" s="52" t="s">
        <v>250</v>
      </c>
      <c r="BE158" s="21"/>
      <c r="BF158" s="21"/>
      <c r="BG158" s="21"/>
      <c r="BH158" s="21"/>
      <c r="BI158" s="21"/>
      <c r="BJ158" s="21"/>
      <c r="BK158" s="51">
        <f t="shared" si="338"/>
        <v>0</v>
      </c>
      <c r="BL158" s="52" t="s">
        <v>250</v>
      </c>
      <c r="BM158" s="21"/>
      <c r="BN158" s="21"/>
      <c r="BO158" s="21"/>
      <c r="BP158" s="21"/>
      <c r="BQ158" s="21"/>
      <c r="BR158" s="21"/>
      <c r="BS158" s="51">
        <f t="shared" si="339"/>
        <v>0</v>
      </c>
      <c r="BT158" s="52" t="s">
        <v>250</v>
      </c>
      <c r="BU158" s="21"/>
      <c r="BV158" s="21"/>
      <c r="BW158" s="21"/>
      <c r="BX158" s="21"/>
      <c r="BY158" s="21"/>
      <c r="BZ158" s="21"/>
      <c r="CA158" s="51">
        <f t="shared" si="340"/>
        <v>0</v>
      </c>
      <c r="CB158" s="52" t="s">
        <v>250</v>
      </c>
      <c r="CC158" s="21"/>
      <c r="CD158" s="21"/>
      <c r="CE158" s="21"/>
      <c r="CF158" s="21"/>
      <c r="CG158" s="21"/>
      <c r="CH158" s="141"/>
      <c r="CI158" s="51">
        <f t="shared" si="341"/>
        <v>0</v>
      </c>
      <c r="CJ158" s="52" t="s">
        <v>250</v>
      </c>
      <c r="CK158" s="21"/>
      <c r="CL158" s="21"/>
      <c r="CM158" s="21"/>
      <c r="CN158" s="21"/>
      <c r="CO158" s="21"/>
      <c r="CP158" s="21"/>
      <c r="CQ158" s="51">
        <f t="shared" si="342"/>
        <v>0</v>
      </c>
      <c r="CR158" s="52" t="s">
        <v>250</v>
      </c>
      <c r="CS158" s="21"/>
      <c r="CT158" s="21"/>
      <c r="CU158" s="21"/>
      <c r="CV158" s="21"/>
      <c r="CW158" s="21"/>
      <c r="CX158" s="21"/>
      <c r="CY158" s="51">
        <f t="shared" si="343"/>
        <v>0</v>
      </c>
      <c r="CZ158" s="52" t="s">
        <v>250</v>
      </c>
      <c r="DA158" s="51" t="e">
        <f>IF(DA157=0,0,DA157/DA156)</f>
        <v>#REF!</v>
      </c>
      <c r="DB158" s="103">
        <f>IF(DB156=0,0,DB157/DB156)</f>
        <v>0</v>
      </c>
      <c r="DC158" s="51" t="e">
        <f>IF(DC156=0,0,DC157/DC156)</f>
        <v>#REF!</v>
      </c>
      <c r="DD158" s="51" t="e">
        <f t="shared" si="344"/>
        <v>#REF!</v>
      </c>
      <c r="DE158" s="83" t="s">
        <v>250</v>
      </c>
    </row>
    <row r="159" spans="1:109" ht="15.75" hidden="1">
      <c r="A159" s="98" t="s">
        <v>217</v>
      </c>
      <c r="B159" s="35" t="s">
        <v>38</v>
      </c>
      <c r="C159" s="10" t="s">
        <v>174</v>
      </c>
      <c r="D159" s="17"/>
      <c r="E159" s="17"/>
      <c r="F159" s="17"/>
      <c r="G159" s="17"/>
      <c r="H159" s="17"/>
      <c r="I159" s="17"/>
      <c r="J159" s="17"/>
      <c r="K159" s="52">
        <f t="shared" si="332"/>
        <v>0</v>
      </c>
      <c r="L159" s="109">
        <f t="shared" si="319"/>
        <v>0</v>
      </c>
      <c r="M159" s="33"/>
      <c r="N159" s="17"/>
      <c r="O159" s="17"/>
      <c r="P159" s="17"/>
      <c r="Q159" s="17"/>
      <c r="R159" s="17"/>
      <c r="S159" s="17"/>
      <c r="T159" s="52">
        <f t="shared" si="333"/>
        <v>0</v>
      </c>
      <c r="U159" s="109">
        <f>IF(R159=0,0,T159/R159)</f>
        <v>0</v>
      </c>
      <c r="V159" s="17"/>
      <c r="W159" s="17"/>
      <c r="X159" s="17"/>
      <c r="Y159" s="17"/>
      <c r="Z159" s="17"/>
      <c r="AA159" s="17"/>
      <c r="AB159" s="17"/>
      <c r="AC159" s="52">
        <f t="shared" si="334"/>
        <v>0</v>
      </c>
      <c r="AD159" s="109">
        <f>IF(AA159=0,0,AC159/AA159)</f>
        <v>0</v>
      </c>
      <c r="AE159" s="17"/>
      <c r="AF159" s="17"/>
      <c r="AG159" s="17"/>
      <c r="AH159" s="17"/>
      <c r="AI159" s="17"/>
      <c r="AJ159" s="17"/>
      <c r="AK159" s="17"/>
      <c r="AL159" s="52">
        <f t="shared" si="335"/>
        <v>0</v>
      </c>
      <c r="AM159" s="109">
        <f>IF(AJ159=0,0,AL159/AJ159)</f>
        <v>0</v>
      </c>
      <c r="AN159" s="17"/>
      <c r="AO159" s="17"/>
      <c r="AP159" s="17"/>
      <c r="AQ159" s="17"/>
      <c r="AR159" s="17"/>
      <c r="AS159" s="17"/>
      <c r="AT159" s="17"/>
      <c r="AU159" s="52">
        <f t="shared" si="336"/>
        <v>0</v>
      </c>
      <c r="AV159" s="109">
        <f>IF(AS159=0,0,AU159/AS159)</f>
        <v>0</v>
      </c>
      <c r="AW159" s="17"/>
      <c r="AX159" s="17"/>
      <c r="AY159" s="17"/>
      <c r="AZ159" s="17"/>
      <c r="BA159" s="17"/>
      <c r="BB159" s="17"/>
      <c r="BC159" s="52">
        <f t="shared" si="337"/>
        <v>0</v>
      </c>
      <c r="BD159" s="109">
        <f>IF(BA159=0,0,BC159/BA159)</f>
        <v>0</v>
      </c>
      <c r="BE159" s="17"/>
      <c r="BF159" s="17"/>
      <c r="BG159" s="17"/>
      <c r="BH159" s="17"/>
      <c r="BI159" s="17"/>
      <c r="BJ159" s="17"/>
      <c r="BK159" s="52">
        <f t="shared" si="338"/>
        <v>0</v>
      </c>
      <c r="BL159" s="109">
        <f>IF(BI159=0,0,BK159/BI159)</f>
        <v>0</v>
      </c>
      <c r="BM159" s="17"/>
      <c r="BN159" s="17"/>
      <c r="BO159" s="17"/>
      <c r="BP159" s="17"/>
      <c r="BQ159" s="17"/>
      <c r="BR159" s="17"/>
      <c r="BS159" s="52">
        <f t="shared" si="339"/>
        <v>0</v>
      </c>
      <c r="BT159" s="109">
        <f>IF(BQ159=0,0,BS159/BQ159)</f>
        <v>0</v>
      </c>
      <c r="BU159" s="17"/>
      <c r="BV159" s="17"/>
      <c r="BW159" s="17"/>
      <c r="BX159" s="17"/>
      <c r="BY159" s="17"/>
      <c r="BZ159" s="17"/>
      <c r="CA159" s="52">
        <f t="shared" si="340"/>
        <v>0</v>
      </c>
      <c r="CB159" s="109">
        <f>IF(BY159=0,0,CA159/BY159)</f>
        <v>0</v>
      </c>
      <c r="CC159" s="17"/>
      <c r="CD159" s="17"/>
      <c r="CE159" s="17"/>
      <c r="CF159" s="17"/>
      <c r="CG159" s="17"/>
      <c r="CH159" s="141"/>
      <c r="CI159" s="52">
        <f t="shared" si="341"/>
        <v>0</v>
      </c>
      <c r="CJ159" s="109">
        <f>IF(CG159=0,0,CI159/CG159)</f>
        <v>0</v>
      </c>
      <c r="CK159" s="17"/>
      <c r="CL159" s="17"/>
      <c r="CM159" s="17"/>
      <c r="CN159" s="17"/>
      <c r="CO159" s="17"/>
      <c r="CP159" s="17"/>
      <c r="CQ159" s="52">
        <f t="shared" si="342"/>
        <v>0</v>
      </c>
      <c r="CR159" s="109">
        <f>IF(CO159=0,0,CQ159/CO159)</f>
        <v>0</v>
      </c>
      <c r="CS159" s="17"/>
      <c r="CT159" s="17"/>
      <c r="CU159" s="17"/>
      <c r="CV159" s="17"/>
      <c r="CW159" s="17"/>
      <c r="CX159" s="17"/>
      <c r="CY159" s="52">
        <f t="shared" si="343"/>
        <v>0</v>
      </c>
      <c r="CZ159" s="109">
        <f>IF(CW159=0,0,CY159/CW159)</f>
        <v>0</v>
      </c>
      <c r="DA159" s="52" t="e">
        <f>J159+IF(#REF!&gt;=2,S159,0)+IF(#REF!&gt;=3,AB159,0)+IF(#REF!&gt;=4,AK159,0)+IF(#REF!&gt;=5,AT159,0)+IF(#REF!&gt;=6,BB159,0)+IF(#REF!&gt;=7,BJ159,0)+IF(#REF!&gt;=8,BR159,0)+IF(#REF!&gt;=9,BZ159,0)+IF(#REF!&gt;=10,CH159,0)+IF(#REF!&gt;=11,CP159,0)+IF(#REF!&gt;=12,CX159,0)</f>
        <v>#REF!</v>
      </c>
      <c r="DB159" s="84">
        <f>I159+R159+AA159+AJ159+AS159+BA159+BI159+BQ159+BY159+CG159+CO159+CW159</f>
        <v>0</v>
      </c>
      <c r="DC159" s="106" t="e">
        <f>IF(#REF!&gt;=1,J159,I159)+IF(#REF!&gt;=2,S159,R159)+IF(#REF!&gt;=3,AB159,AA159)+IF(#REF!&gt;=4,AK159,AJ159)+IF(#REF!&gt;=5,AT159,AS159)+IF(#REF!&gt;=6,BB159,BA159)+IF(#REF!&gt;=7,BJ159,BI159)+IF(#REF!&gt;=8,BR159,BQ159)+IF(#REF!&gt;=9,BZ159,BY159)+IF(#REF!&gt;=10,CH159,CG159)+IF(#REF!&gt;=11,CP159,CO159)+IF(#REF!&gt;=12,CX159,CW159)</f>
        <v>#REF!</v>
      </c>
      <c r="DD159" s="52" t="e">
        <f t="shared" si="344"/>
        <v>#REF!</v>
      </c>
      <c r="DE159" s="113">
        <f>IF(DB159=0,0,DD159/DB159)</f>
        <v>0</v>
      </c>
    </row>
    <row r="160" spans="1:109" ht="15.75" hidden="1">
      <c r="A160" s="98" t="s">
        <v>218</v>
      </c>
      <c r="B160" s="36" t="s">
        <v>39</v>
      </c>
      <c r="C160" s="10" t="s">
        <v>174</v>
      </c>
      <c r="D160" s="52">
        <f>D156-D157-D159</f>
        <v>0</v>
      </c>
      <c r="E160" s="52">
        <f>E156-E157-E159</f>
        <v>0</v>
      </c>
      <c r="F160" s="52"/>
      <c r="G160" s="52"/>
      <c r="H160" s="52"/>
      <c r="I160" s="52">
        <f>I156-I157-I159</f>
        <v>0</v>
      </c>
      <c r="J160" s="52">
        <f>J156-J157-J159</f>
        <v>0</v>
      </c>
      <c r="K160" s="52">
        <f t="shared" si="332"/>
        <v>0</v>
      </c>
      <c r="L160" s="109">
        <f t="shared" si="319"/>
        <v>0</v>
      </c>
      <c r="M160" s="33">
        <f>M156-M157-M159</f>
        <v>0</v>
      </c>
      <c r="N160" s="52">
        <f>N156-N157-N159</f>
        <v>0</v>
      </c>
      <c r="O160" s="52"/>
      <c r="P160" s="52"/>
      <c r="Q160" s="52"/>
      <c r="R160" s="52">
        <f>R156-R157-R159</f>
        <v>0</v>
      </c>
      <c r="S160" s="52">
        <f>S156-S157-S159</f>
        <v>0</v>
      </c>
      <c r="T160" s="52">
        <f t="shared" si="333"/>
        <v>0</v>
      </c>
      <c r="U160" s="109">
        <f>IF(R160=0,0,T160/R160)</f>
        <v>0</v>
      </c>
      <c r="V160" s="52">
        <f>V156-V157-V159</f>
        <v>0</v>
      </c>
      <c r="W160" s="52">
        <f>W156-W157-W159</f>
        <v>0</v>
      </c>
      <c r="X160" s="52"/>
      <c r="Y160" s="52"/>
      <c r="Z160" s="52"/>
      <c r="AA160" s="52">
        <f>AA156-AA157-AA159</f>
        <v>0</v>
      </c>
      <c r="AB160" s="52">
        <f>AB156-AB157-AB159</f>
        <v>0</v>
      </c>
      <c r="AC160" s="52">
        <f t="shared" si="334"/>
        <v>0</v>
      </c>
      <c r="AD160" s="109">
        <f>IF(AA160=0,0,AC160/AA160)</f>
        <v>0</v>
      </c>
      <c r="AE160" s="52">
        <f>AE156-AE157-AE159</f>
        <v>0</v>
      </c>
      <c r="AF160" s="52">
        <f>AF156-AF157-AF159</f>
        <v>0</v>
      </c>
      <c r="AG160" s="52"/>
      <c r="AH160" s="52"/>
      <c r="AI160" s="52"/>
      <c r="AJ160" s="52">
        <f>AJ156-AJ157-AJ159</f>
        <v>0</v>
      </c>
      <c r="AK160" s="52">
        <f>AK156-AK157-AK159</f>
        <v>0</v>
      </c>
      <c r="AL160" s="52">
        <f t="shared" si="335"/>
        <v>0</v>
      </c>
      <c r="AM160" s="109">
        <f>IF(AJ160=0,0,AL160/AJ160)</f>
        <v>0</v>
      </c>
      <c r="AN160" s="52">
        <f>AN156-AN157-AN159</f>
        <v>0</v>
      </c>
      <c r="AO160" s="52">
        <f>AO156-AO157-AO159</f>
        <v>0</v>
      </c>
      <c r="AP160" s="52"/>
      <c r="AQ160" s="52"/>
      <c r="AR160" s="52"/>
      <c r="AS160" s="52">
        <f>AS156-AS157-AS159</f>
        <v>0</v>
      </c>
      <c r="AT160" s="52">
        <f>AT156-AT157-AT159</f>
        <v>0</v>
      </c>
      <c r="AU160" s="52">
        <f t="shared" si="336"/>
        <v>0</v>
      </c>
      <c r="AV160" s="109">
        <f>IF(AS160=0,0,AU160/AS160)</f>
        <v>0</v>
      </c>
      <c r="AW160" s="52">
        <f>AW156-AW157-AW159</f>
        <v>0</v>
      </c>
      <c r="AX160" s="52">
        <f>AX156-AX157-AX159</f>
        <v>0</v>
      </c>
      <c r="AY160" s="52"/>
      <c r="AZ160" s="52"/>
      <c r="BA160" s="52">
        <f>BA156-BA157-BA159</f>
        <v>0</v>
      </c>
      <c r="BB160" s="52">
        <f>BB156-BB157-BB159</f>
        <v>0</v>
      </c>
      <c r="BC160" s="52">
        <f t="shared" si="337"/>
        <v>0</v>
      </c>
      <c r="BD160" s="109">
        <f>IF(BA160=0,0,BC160/BA160)</f>
        <v>0</v>
      </c>
      <c r="BE160" s="52">
        <f>BE156-BE157-BE159</f>
        <v>0</v>
      </c>
      <c r="BF160" s="52"/>
      <c r="BG160" s="52">
        <f>BG156-BG157-BG159</f>
        <v>0</v>
      </c>
      <c r="BH160" s="52"/>
      <c r="BI160" s="52">
        <f>BI156-BI157-BI159</f>
        <v>0</v>
      </c>
      <c r="BJ160" s="52">
        <f>BJ156-BJ157-BJ159</f>
        <v>0</v>
      </c>
      <c r="BK160" s="52">
        <f t="shared" si="338"/>
        <v>0</v>
      </c>
      <c r="BL160" s="109">
        <f>IF(BI160=0,0,BK160/BI160)</f>
        <v>0</v>
      </c>
      <c r="BM160" s="52">
        <f>BM156-BM157-BM159</f>
        <v>0</v>
      </c>
      <c r="BN160" s="52">
        <f>BN156-BN157-BN159</f>
        <v>0</v>
      </c>
      <c r="BO160" s="52"/>
      <c r="BP160" s="52"/>
      <c r="BQ160" s="52">
        <f>BQ156-BQ157-BQ159</f>
        <v>0</v>
      </c>
      <c r="BR160" s="52">
        <f>BR156-BR157-BR159</f>
        <v>0</v>
      </c>
      <c r="BS160" s="52">
        <f t="shared" si="339"/>
        <v>0</v>
      </c>
      <c r="BT160" s="109">
        <f>IF(BQ160=0,0,BS160/BQ160)</f>
        <v>0</v>
      </c>
      <c r="BU160" s="52">
        <f>BU156-BU157-BU159</f>
        <v>0</v>
      </c>
      <c r="BV160" s="52">
        <f>BV156-BV157-BV159</f>
        <v>0</v>
      </c>
      <c r="BW160" s="52"/>
      <c r="BX160" s="52"/>
      <c r="BY160" s="52">
        <f>BY156-BY157-BY159</f>
        <v>0</v>
      </c>
      <c r="BZ160" s="52">
        <f>BZ156-BZ157-BZ159</f>
        <v>0</v>
      </c>
      <c r="CA160" s="52">
        <f t="shared" si="340"/>
        <v>0</v>
      </c>
      <c r="CB160" s="109">
        <f>IF(BY160=0,0,CA160/BY160)</f>
        <v>0</v>
      </c>
      <c r="CC160" s="52">
        <f>CC156-CC157-CC159</f>
        <v>0</v>
      </c>
      <c r="CD160" s="52">
        <f>CD156-CD157-CD159</f>
        <v>0</v>
      </c>
      <c r="CE160" s="52"/>
      <c r="CF160" s="52"/>
      <c r="CG160" s="52">
        <f>CG156-CG157-CG159</f>
        <v>0</v>
      </c>
      <c r="CH160" s="152">
        <f>CH156-CH157-CH159</f>
        <v>0</v>
      </c>
      <c r="CI160" s="52">
        <f t="shared" si="341"/>
        <v>0</v>
      </c>
      <c r="CJ160" s="109">
        <f>IF(CG160=0,0,CI160/CG160)</f>
        <v>0</v>
      </c>
      <c r="CK160" s="52">
        <f>CK156-CK157-CK159</f>
        <v>0</v>
      </c>
      <c r="CL160" s="52">
        <f>CL156-CL157-CL159</f>
        <v>0</v>
      </c>
      <c r="CM160" s="52"/>
      <c r="CN160" s="52"/>
      <c r="CO160" s="52">
        <f>CO156-CO157-CO159</f>
        <v>0</v>
      </c>
      <c r="CP160" s="52">
        <f>CP156-CP157-CP159</f>
        <v>0</v>
      </c>
      <c r="CQ160" s="52">
        <f t="shared" si="342"/>
        <v>0</v>
      </c>
      <c r="CR160" s="109">
        <f>IF(CO160=0,0,CQ160/CO160)</f>
        <v>0</v>
      </c>
      <c r="CS160" s="52">
        <f>CS156-CS157-CS159</f>
        <v>0</v>
      </c>
      <c r="CT160" s="52">
        <f>CT156-CT157-CT159</f>
        <v>0</v>
      </c>
      <c r="CU160" s="52"/>
      <c r="CV160" s="52"/>
      <c r="CW160" s="52">
        <f>CW156-CW157-CW159</f>
        <v>0</v>
      </c>
      <c r="CX160" s="52">
        <f>CX156-CX157-CX159</f>
        <v>0</v>
      </c>
      <c r="CY160" s="52">
        <f t="shared" si="343"/>
        <v>0</v>
      </c>
      <c r="CZ160" s="109">
        <f>IF(CW160=0,0,CY160/CW160)</f>
        <v>0</v>
      </c>
      <c r="DA160" s="52" t="e">
        <f>DA156-DA157-DA159</f>
        <v>#REF!</v>
      </c>
      <c r="DB160" s="84">
        <f>DB156-DB157-DB159</f>
        <v>0</v>
      </c>
      <c r="DC160" s="52" t="e">
        <f>DC156-DC157-DC159</f>
        <v>#REF!</v>
      </c>
      <c r="DD160" s="52" t="e">
        <f t="shared" si="344"/>
        <v>#REF!</v>
      </c>
      <c r="DE160" s="113">
        <f>IF(DB160=0,0,DD160/DB160)</f>
        <v>0</v>
      </c>
    </row>
    <row r="161" spans="1:109" ht="15.75" hidden="1">
      <c r="A161" s="98" t="s">
        <v>219</v>
      </c>
      <c r="B161" s="220" t="s">
        <v>40</v>
      </c>
      <c r="C161" s="10" t="s">
        <v>174</v>
      </c>
      <c r="D161" s="52">
        <f>D160-D163</f>
        <v>0</v>
      </c>
      <c r="E161" s="52">
        <f>E160-E163</f>
        <v>0</v>
      </c>
      <c r="F161" s="52"/>
      <c r="G161" s="52"/>
      <c r="H161" s="52"/>
      <c r="I161" s="52">
        <f>I160-I163</f>
        <v>0</v>
      </c>
      <c r="J161" s="52">
        <f>J160-J163</f>
        <v>0</v>
      </c>
      <c r="K161" s="52">
        <f t="shared" si="332"/>
        <v>0</v>
      </c>
      <c r="L161" s="52" t="s">
        <v>250</v>
      </c>
      <c r="M161" s="17">
        <f>M160-M163</f>
        <v>0</v>
      </c>
      <c r="N161" s="52">
        <f>N160-N163</f>
        <v>0</v>
      </c>
      <c r="O161" s="52"/>
      <c r="P161" s="52"/>
      <c r="Q161" s="52"/>
      <c r="R161" s="52">
        <f>R160-R163</f>
        <v>0</v>
      </c>
      <c r="S161" s="52">
        <f>S160-S163</f>
        <v>0</v>
      </c>
      <c r="T161" s="52">
        <f t="shared" si="333"/>
        <v>0</v>
      </c>
      <c r="U161" s="52" t="s">
        <v>250</v>
      </c>
      <c r="V161" s="52">
        <f>V160-V163</f>
        <v>0</v>
      </c>
      <c r="W161" s="52">
        <f>W160-W163</f>
        <v>0</v>
      </c>
      <c r="X161" s="52"/>
      <c r="Y161" s="52"/>
      <c r="Z161" s="52"/>
      <c r="AA161" s="52">
        <f>AA160-AA163</f>
        <v>0</v>
      </c>
      <c r="AB161" s="52">
        <f>AB160-AB163</f>
        <v>0</v>
      </c>
      <c r="AC161" s="52">
        <f t="shared" si="334"/>
        <v>0</v>
      </c>
      <c r="AD161" s="52" t="s">
        <v>250</v>
      </c>
      <c r="AE161" s="52">
        <f>AE160-AE163</f>
        <v>0</v>
      </c>
      <c r="AF161" s="52">
        <f>AF160-AF163</f>
        <v>0</v>
      </c>
      <c r="AG161" s="52"/>
      <c r="AH161" s="52"/>
      <c r="AI161" s="52"/>
      <c r="AJ161" s="52">
        <f>AJ160-AJ163</f>
        <v>0</v>
      </c>
      <c r="AK161" s="52">
        <f>AK160-AK163</f>
        <v>0</v>
      </c>
      <c r="AL161" s="52">
        <f t="shared" si="335"/>
        <v>0</v>
      </c>
      <c r="AM161" s="52" t="s">
        <v>250</v>
      </c>
      <c r="AN161" s="52">
        <f>AN160-AN163</f>
        <v>0</v>
      </c>
      <c r="AO161" s="52">
        <f>AO160-AO163</f>
        <v>0</v>
      </c>
      <c r="AP161" s="52"/>
      <c r="AQ161" s="52"/>
      <c r="AR161" s="52"/>
      <c r="AS161" s="52">
        <f>AS160-AS163</f>
        <v>0</v>
      </c>
      <c r="AT161" s="52">
        <f>AT160-AT163</f>
        <v>0</v>
      </c>
      <c r="AU161" s="52">
        <f t="shared" si="336"/>
        <v>0</v>
      </c>
      <c r="AV161" s="52" t="s">
        <v>250</v>
      </c>
      <c r="AW161" s="52">
        <f>AW160-AW163</f>
        <v>0</v>
      </c>
      <c r="AX161" s="52">
        <f>AX160-AX163</f>
        <v>0</v>
      </c>
      <c r="AY161" s="52"/>
      <c r="AZ161" s="52"/>
      <c r="BA161" s="52">
        <f>BA160-BA163</f>
        <v>0</v>
      </c>
      <c r="BB161" s="52">
        <f>BB160-BB163</f>
        <v>0</v>
      </c>
      <c r="BC161" s="52">
        <f t="shared" si="337"/>
        <v>0</v>
      </c>
      <c r="BD161" s="52" t="s">
        <v>250</v>
      </c>
      <c r="BE161" s="52">
        <f>BE160-BE163</f>
        <v>0</v>
      </c>
      <c r="BF161" s="52"/>
      <c r="BG161" s="52">
        <f>BG160-BG163</f>
        <v>0</v>
      </c>
      <c r="BH161" s="52"/>
      <c r="BI161" s="52">
        <f>BI160-BI163</f>
        <v>0</v>
      </c>
      <c r="BJ161" s="52">
        <f>BJ160-BJ163</f>
        <v>0</v>
      </c>
      <c r="BK161" s="52">
        <f t="shared" si="338"/>
        <v>0</v>
      </c>
      <c r="BL161" s="52" t="s">
        <v>250</v>
      </c>
      <c r="BM161" s="52">
        <f>BM160-BM163</f>
        <v>0</v>
      </c>
      <c r="BN161" s="52">
        <f>BN160-BN163</f>
        <v>0</v>
      </c>
      <c r="BO161" s="52"/>
      <c r="BP161" s="52"/>
      <c r="BQ161" s="52">
        <f>BQ160-BQ163</f>
        <v>0</v>
      </c>
      <c r="BR161" s="52">
        <f>BR160-BR163</f>
        <v>0</v>
      </c>
      <c r="BS161" s="52">
        <f t="shared" si="339"/>
        <v>0</v>
      </c>
      <c r="BT161" s="52" t="s">
        <v>250</v>
      </c>
      <c r="BU161" s="52">
        <f>BU160-BU163</f>
        <v>0</v>
      </c>
      <c r="BV161" s="52">
        <f>BV160-BV163</f>
        <v>0</v>
      </c>
      <c r="BW161" s="52"/>
      <c r="BX161" s="52"/>
      <c r="BY161" s="52">
        <f>BY160-BY163</f>
        <v>0</v>
      </c>
      <c r="BZ161" s="52">
        <f>BZ160-BZ163</f>
        <v>0</v>
      </c>
      <c r="CA161" s="52">
        <f t="shared" si="340"/>
        <v>0</v>
      </c>
      <c r="CB161" s="52" t="s">
        <v>250</v>
      </c>
      <c r="CC161" s="52">
        <f>CC160-CC163</f>
        <v>0</v>
      </c>
      <c r="CD161" s="52">
        <f>CD160-CD163</f>
        <v>0</v>
      </c>
      <c r="CE161" s="52"/>
      <c r="CF161" s="52"/>
      <c r="CG161" s="52">
        <f>CG160-CG163</f>
        <v>0</v>
      </c>
      <c r="CH161" s="152">
        <f>CH160-CH163</f>
        <v>0</v>
      </c>
      <c r="CI161" s="52">
        <f t="shared" si="341"/>
        <v>0</v>
      </c>
      <c r="CJ161" s="52" t="s">
        <v>250</v>
      </c>
      <c r="CK161" s="52">
        <f>CK160-CK163</f>
        <v>0</v>
      </c>
      <c r="CL161" s="52">
        <f>CL160-CL163</f>
        <v>0</v>
      </c>
      <c r="CM161" s="52"/>
      <c r="CN161" s="52"/>
      <c r="CO161" s="52">
        <f>CO160-CO163</f>
        <v>0</v>
      </c>
      <c r="CP161" s="52">
        <f>CP160-CP163</f>
        <v>0</v>
      </c>
      <c r="CQ161" s="52">
        <f t="shared" si="342"/>
        <v>0</v>
      </c>
      <c r="CR161" s="52" t="s">
        <v>250</v>
      </c>
      <c r="CS161" s="52">
        <f>CS160-CS163</f>
        <v>0</v>
      </c>
      <c r="CT161" s="52">
        <f>CT160-CT163</f>
        <v>0</v>
      </c>
      <c r="CU161" s="52"/>
      <c r="CV161" s="52"/>
      <c r="CW161" s="52">
        <f>CW160-CW163</f>
        <v>0</v>
      </c>
      <c r="CX161" s="52">
        <f>CX160-CX163</f>
        <v>0</v>
      </c>
      <c r="CY161" s="52">
        <f t="shared" si="343"/>
        <v>0</v>
      </c>
      <c r="CZ161" s="52" t="s">
        <v>250</v>
      </c>
      <c r="DA161" s="52" t="e">
        <f>DA160-DA163</f>
        <v>#REF!</v>
      </c>
      <c r="DB161" s="84">
        <f>DB160-DB163</f>
        <v>0</v>
      </c>
      <c r="DC161" s="52" t="e">
        <f>DC160-DC163</f>
        <v>#REF!</v>
      </c>
      <c r="DD161" s="52" t="e">
        <f t="shared" si="344"/>
        <v>#REF!</v>
      </c>
      <c r="DE161" s="83" t="s">
        <v>250</v>
      </c>
    </row>
    <row r="162" spans="1:109" ht="15.75" hidden="1">
      <c r="A162" s="98" t="s">
        <v>220</v>
      </c>
      <c r="B162" s="220"/>
      <c r="C162" s="10" t="s">
        <v>1</v>
      </c>
      <c r="D162" s="51">
        <f>IF(D156=0,0,D161/D156)</f>
        <v>0</v>
      </c>
      <c r="E162" s="51">
        <f>IF(E156=0,0,E161/E156)</f>
        <v>0</v>
      </c>
      <c r="F162" s="51"/>
      <c r="G162" s="51"/>
      <c r="H162" s="51"/>
      <c r="I162" s="51">
        <f>IF(I156=0,0,I161/I156)</f>
        <v>0</v>
      </c>
      <c r="J162" s="51">
        <f>IF(J156=0,0,J161/J156)</f>
        <v>0</v>
      </c>
      <c r="K162" s="51">
        <f t="shared" si="332"/>
        <v>0</v>
      </c>
      <c r="L162" s="52" t="s">
        <v>250</v>
      </c>
      <c r="M162" s="17">
        <f>IF(M156=0,0,M161/M156)</f>
        <v>0</v>
      </c>
      <c r="N162" s="51">
        <f>IF(N156=0,0,N161/N156)</f>
        <v>0</v>
      </c>
      <c r="O162" s="51"/>
      <c r="P162" s="51"/>
      <c r="Q162" s="51"/>
      <c r="R162" s="51">
        <f>IF(R156=0,0,R161/R156)</f>
        <v>0</v>
      </c>
      <c r="S162" s="51">
        <f>IF(S156=0,0,S161/S156)</f>
        <v>0</v>
      </c>
      <c r="T162" s="51">
        <f t="shared" si="333"/>
        <v>0</v>
      </c>
      <c r="U162" s="52" t="s">
        <v>250</v>
      </c>
      <c r="V162" s="51">
        <f>IF(V156=0,0,V161/V156)</f>
        <v>0</v>
      </c>
      <c r="W162" s="51">
        <f>IF(W156=0,0,W161/W156)</f>
        <v>0</v>
      </c>
      <c r="X162" s="51"/>
      <c r="Y162" s="51"/>
      <c r="Z162" s="51"/>
      <c r="AA162" s="51">
        <f>IF(AA156=0,0,AA161/AA156)</f>
        <v>0</v>
      </c>
      <c r="AB162" s="51">
        <f>IF(AB156=0,0,AB161/AB156)</f>
        <v>0</v>
      </c>
      <c r="AC162" s="51">
        <f t="shared" si="334"/>
        <v>0</v>
      </c>
      <c r="AD162" s="52" t="s">
        <v>250</v>
      </c>
      <c r="AE162" s="51">
        <f>IF(AE156=0,0,AE161/AE156)</f>
        <v>0</v>
      </c>
      <c r="AF162" s="51">
        <f>IF(AF156=0,0,AF161/AF156)</f>
        <v>0</v>
      </c>
      <c r="AG162" s="51"/>
      <c r="AH162" s="51"/>
      <c r="AI162" s="51"/>
      <c r="AJ162" s="51">
        <f>IF(AJ156=0,0,AJ161/AJ156)</f>
        <v>0</v>
      </c>
      <c r="AK162" s="51">
        <f>IF(AK156=0,0,AK161/AK156)</f>
        <v>0</v>
      </c>
      <c r="AL162" s="51">
        <f t="shared" si="335"/>
        <v>0</v>
      </c>
      <c r="AM162" s="52" t="s">
        <v>250</v>
      </c>
      <c r="AN162" s="51">
        <f>IF(AN156=0,0,AN161/AN156)</f>
        <v>0</v>
      </c>
      <c r="AO162" s="51">
        <f>IF(AO156=0,0,AO161/AO156)</f>
        <v>0</v>
      </c>
      <c r="AP162" s="51"/>
      <c r="AQ162" s="51"/>
      <c r="AR162" s="51"/>
      <c r="AS162" s="51">
        <f>IF(AS156=0,0,AS161/AS156)</f>
        <v>0</v>
      </c>
      <c r="AT162" s="51">
        <f>IF(AT156=0,0,AT161/AT156)</f>
        <v>0</v>
      </c>
      <c r="AU162" s="51">
        <f t="shared" si="336"/>
        <v>0</v>
      </c>
      <c r="AV162" s="52" t="s">
        <v>250</v>
      </c>
      <c r="AW162" s="51">
        <f>IF(AW156=0,0,AW161/AW156)</f>
        <v>0</v>
      </c>
      <c r="AX162" s="51">
        <f>IF(AX156=0,0,AX161/AX156)</f>
        <v>0</v>
      </c>
      <c r="AY162" s="51"/>
      <c r="AZ162" s="51"/>
      <c r="BA162" s="51">
        <f>IF(BA156=0,0,BA161/BA156)</f>
        <v>0</v>
      </c>
      <c r="BB162" s="51">
        <f>IF(BB156=0,0,BB161/BB156)</f>
        <v>0</v>
      </c>
      <c r="BC162" s="51">
        <f t="shared" si="337"/>
        <v>0</v>
      </c>
      <c r="BD162" s="52" t="s">
        <v>250</v>
      </c>
      <c r="BE162" s="51">
        <f>IF(BE156=0,0,BE161/BE156)</f>
        <v>0</v>
      </c>
      <c r="BF162" s="51"/>
      <c r="BG162" s="51">
        <f>IF(BG156=0,0,BG161/BG156)</f>
        <v>0</v>
      </c>
      <c r="BH162" s="51"/>
      <c r="BI162" s="51">
        <f>IF(BI156=0,0,BI161/BI156)</f>
        <v>0</v>
      </c>
      <c r="BJ162" s="51">
        <f>IF(BJ156=0,0,BJ161/BJ156)</f>
        <v>0</v>
      </c>
      <c r="BK162" s="51">
        <f t="shared" si="338"/>
        <v>0</v>
      </c>
      <c r="BL162" s="52" t="s">
        <v>250</v>
      </c>
      <c r="BM162" s="51">
        <f>IF(BM156=0,0,BM161/BM156)</f>
        <v>0</v>
      </c>
      <c r="BN162" s="51">
        <f>IF(BN156=0,0,BN161/BN156)</f>
        <v>0</v>
      </c>
      <c r="BO162" s="51"/>
      <c r="BP162" s="51"/>
      <c r="BQ162" s="51">
        <f>IF(BQ156=0,0,BQ161/BQ156)</f>
        <v>0</v>
      </c>
      <c r="BR162" s="51">
        <f>IF(BR156=0,0,BR161/BR156)</f>
        <v>0</v>
      </c>
      <c r="BS162" s="51">
        <f t="shared" si="339"/>
        <v>0</v>
      </c>
      <c r="BT162" s="52" t="s">
        <v>250</v>
      </c>
      <c r="BU162" s="51">
        <f>IF(BU156=0,0,BU161/BU156)</f>
        <v>0</v>
      </c>
      <c r="BV162" s="51">
        <f>IF(BV156=0,0,BV161/BV156)</f>
        <v>0</v>
      </c>
      <c r="BW162" s="51"/>
      <c r="BX162" s="51"/>
      <c r="BY162" s="51">
        <f>IF(BY156=0,0,BY161/BY156)</f>
        <v>0</v>
      </c>
      <c r="BZ162" s="51">
        <f>IF(BZ156=0,0,BZ161/BZ156)</f>
        <v>0</v>
      </c>
      <c r="CA162" s="51">
        <f t="shared" si="340"/>
        <v>0</v>
      </c>
      <c r="CB162" s="52" t="s">
        <v>250</v>
      </c>
      <c r="CC162" s="51">
        <f>IF(CC156=0,0,CC161/CC156)</f>
        <v>0</v>
      </c>
      <c r="CD162" s="51">
        <f>IF(CD156=0,0,CD161/CD156)</f>
        <v>0</v>
      </c>
      <c r="CE162" s="51"/>
      <c r="CF162" s="51"/>
      <c r="CG162" s="51">
        <f>IF(CG156=0,0,CG161/CG156)</f>
        <v>0</v>
      </c>
      <c r="CH162" s="152">
        <f>IF(CH156=0,0,CH161/CH156)</f>
        <v>0</v>
      </c>
      <c r="CI162" s="51">
        <f t="shared" si="341"/>
        <v>0</v>
      </c>
      <c r="CJ162" s="52" t="s">
        <v>250</v>
      </c>
      <c r="CK162" s="51">
        <f>IF(CK156=0,0,CK161/CK156)</f>
        <v>0</v>
      </c>
      <c r="CL162" s="51">
        <f>IF(CL156=0,0,CL161/CL156)</f>
        <v>0</v>
      </c>
      <c r="CM162" s="51"/>
      <c r="CN162" s="51"/>
      <c r="CO162" s="51">
        <f>IF(CO156=0,0,CO161/CO156)</f>
        <v>0</v>
      </c>
      <c r="CP162" s="51">
        <f>IF(CP156=0,0,CP161/CP156)</f>
        <v>0</v>
      </c>
      <c r="CQ162" s="51">
        <f t="shared" si="342"/>
        <v>0</v>
      </c>
      <c r="CR162" s="52" t="s">
        <v>250</v>
      </c>
      <c r="CS162" s="51">
        <f>IF(CS156=0,0,CS161/CS156)</f>
        <v>0</v>
      </c>
      <c r="CT162" s="51">
        <f>IF(CT156=0,0,CT161/CT156)</f>
        <v>0</v>
      </c>
      <c r="CU162" s="51"/>
      <c r="CV162" s="51"/>
      <c r="CW162" s="51">
        <f>IF(CW156=0,0,CW161/CW156)</f>
        <v>0</v>
      </c>
      <c r="CX162" s="51">
        <f>IF(CX156=0,0,CX161/CX156)</f>
        <v>0</v>
      </c>
      <c r="CY162" s="51">
        <f t="shared" si="343"/>
        <v>0</v>
      </c>
      <c r="CZ162" s="52" t="s">
        <v>250</v>
      </c>
      <c r="DA162" s="51" t="e">
        <f>IF(DA156=0,0,DA161/DA156)</f>
        <v>#REF!</v>
      </c>
      <c r="DB162" s="85">
        <f>IF(DB156=0,0,DB161/DB156)</f>
        <v>0</v>
      </c>
      <c r="DC162" s="51" t="e">
        <f>IF(DC156=0,0,DC161/DC156)</f>
        <v>#REF!</v>
      </c>
      <c r="DD162" s="51" t="e">
        <f t="shared" si="344"/>
        <v>#REF!</v>
      </c>
      <c r="DE162" s="83" t="s">
        <v>250</v>
      </c>
    </row>
    <row r="163" spans="1:109" ht="15.75" hidden="1">
      <c r="A163" s="98" t="s">
        <v>221</v>
      </c>
      <c r="B163" s="35" t="s">
        <v>222</v>
      </c>
      <c r="C163" s="10" t="s">
        <v>174</v>
      </c>
      <c r="D163" s="52">
        <f>D164+D165+D166</f>
        <v>0</v>
      </c>
      <c r="E163" s="52">
        <f>E164+E165+E166</f>
        <v>0</v>
      </c>
      <c r="F163" s="52"/>
      <c r="G163" s="52"/>
      <c r="H163" s="52"/>
      <c r="I163" s="52">
        <f>I164+I165+I166</f>
        <v>0</v>
      </c>
      <c r="J163" s="52">
        <f>J164+J165+J166</f>
        <v>0</v>
      </c>
      <c r="K163" s="52">
        <f t="shared" si="332"/>
        <v>0</v>
      </c>
      <c r="L163" s="109">
        <f t="shared" si="319"/>
        <v>0</v>
      </c>
      <c r="M163" s="52">
        <f>M164+M165+M166</f>
        <v>0</v>
      </c>
      <c r="N163" s="52">
        <f>N164+N165+N166</f>
        <v>0</v>
      </c>
      <c r="O163" s="52"/>
      <c r="P163" s="52"/>
      <c r="Q163" s="52"/>
      <c r="R163" s="52">
        <f>R164+R165+R166</f>
        <v>0</v>
      </c>
      <c r="S163" s="52">
        <f>S164+S165+S166</f>
        <v>0</v>
      </c>
      <c r="T163" s="52">
        <f t="shared" si="333"/>
        <v>0</v>
      </c>
      <c r="U163" s="109">
        <f>IF(R163=0,0,T163/R163)</f>
        <v>0</v>
      </c>
      <c r="V163" s="52">
        <f>V164+V165+V166</f>
        <v>0</v>
      </c>
      <c r="W163" s="52">
        <f>W164+W165+W166</f>
        <v>0</v>
      </c>
      <c r="X163" s="52"/>
      <c r="Y163" s="52"/>
      <c r="Z163" s="52"/>
      <c r="AA163" s="52">
        <f>AA164+AA165+AA166</f>
        <v>0</v>
      </c>
      <c r="AB163" s="52">
        <f>AB164+AB165+AB166</f>
        <v>0</v>
      </c>
      <c r="AC163" s="52">
        <f t="shared" si="334"/>
        <v>0</v>
      </c>
      <c r="AD163" s="109">
        <f>IF(AA163=0,0,AC163/AA163)</f>
        <v>0</v>
      </c>
      <c r="AE163" s="52">
        <f>AE164+AE165+AE166</f>
        <v>0</v>
      </c>
      <c r="AF163" s="52">
        <f>AF164+AF165+AF166</f>
        <v>0</v>
      </c>
      <c r="AG163" s="52"/>
      <c r="AH163" s="52"/>
      <c r="AI163" s="52"/>
      <c r="AJ163" s="52">
        <f>AJ164+AJ165+AJ166</f>
        <v>0</v>
      </c>
      <c r="AK163" s="52">
        <f>AK164+AK165+AK166</f>
        <v>0</v>
      </c>
      <c r="AL163" s="52">
        <f t="shared" si="335"/>
        <v>0</v>
      </c>
      <c r="AM163" s="109">
        <f>IF(AJ163=0,0,AL163/AJ163)</f>
        <v>0</v>
      </c>
      <c r="AN163" s="52">
        <f>AN164+AN165+AN166</f>
        <v>0</v>
      </c>
      <c r="AO163" s="52">
        <f>AO164+AO165+AO166</f>
        <v>0</v>
      </c>
      <c r="AP163" s="52"/>
      <c r="AQ163" s="52"/>
      <c r="AR163" s="52"/>
      <c r="AS163" s="52">
        <f>AS164+AS165+AS166</f>
        <v>0</v>
      </c>
      <c r="AT163" s="52">
        <f>AT164+AT165+AT166</f>
        <v>0</v>
      </c>
      <c r="AU163" s="52">
        <f t="shared" si="336"/>
        <v>0</v>
      </c>
      <c r="AV163" s="109">
        <f>IF(AS163=0,0,AU163/AS163)</f>
        <v>0</v>
      </c>
      <c r="AW163" s="52">
        <f>AW164+AW165+AW166</f>
        <v>0</v>
      </c>
      <c r="AX163" s="52">
        <f>AX164+AX165+AX166</f>
        <v>0</v>
      </c>
      <c r="AY163" s="52"/>
      <c r="AZ163" s="52"/>
      <c r="BA163" s="52">
        <f>BA164+BA165+BA166</f>
        <v>0</v>
      </c>
      <c r="BB163" s="52">
        <f>BB164+BB165+BB166</f>
        <v>0</v>
      </c>
      <c r="BC163" s="52">
        <f t="shared" si="337"/>
        <v>0</v>
      </c>
      <c r="BD163" s="109">
        <f>IF(BA163=0,0,BC163/BA163)</f>
        <v>0</v>
      </c>
      <c r="BE163" s="52">
        <f>BE164+BE165+BE166</f>
        <v>0</v>
      </c>
      <c r="BF163" s="52"/>
      <c r="BG163" s="52">
        <f>BG164+BG165+BG166</f>
        <v>0</v>
      </c>
      <c r="BH163" s="52"/>
      <c r="BI163" s="52">
        <f>BI164+BI165+BI166</f>
        <v>0</v>
      </c>
      <c r="BJ163" s="52">
        <f>BJ164+BJ165+BJ166</f>
        <v>0</v>
      </c>
      <c r="BK163" s="52">
        <f t="shared" si="338"/>
        <v>0</v>
      </c>
      <c r="BL163" s="109">
        <f>IF(BI163=0,0,BK163/BI163)</f>
        <v>0</v>
      </c>
      <c r="BM163" s="52">
        <f>BM164+BM165+BM166</f>
        <v>0</v>
      </c>
      <c r="BN163" s="52">
        <f>BN164+BN165+BN166</f>
        <v>0</v>
      </c>
      <c r="BO163" s="52"/>
      <c r="BP163" s="52"/>
      <c r="BQ163" s="52">
        <f>BQ164+BQ165+BQ166</f>
        <v>0</v>
      </c>
      <c r="BR163" s="52">
        <f>BR164+BR165+BR166</f>
        <v>0</v>
      </c>
      <c r="BS163" s="52">
        <f t="shared" si="339"/>
        <v>0</v>
      </c>
      <c r="BT163" s="109">
        <f>IF(BQ163=0,0,BS163/BQ163)</f>
        <v>0</v>
      </c>
      <c r="BU163" s="52">
        <f>BU164+BU165+BU166</f>
        <v>0</v>
      </c>
      <c r="BV163" s="52">
        <f>BV164+BV165+BV166</f>
        <v>0</v>
      </c>
      <c r="BW163" s="52"/>
      <c r="BX163" s="52"/>
      <c r="BY163" s="52">
        <f>BY164+BY165+BY166</f>
        <v>0</v>
      </c>
      <c r="BZ163" s="52">
        <f>BZ164+BZ165+BZ166</f>
        <v>0</v>
      </c>
      <c r="CA163" s="52">
        <f t="shared" si="340"/>
        <v>0</v>
      </c>
      <c r="CB163" s="109">
        <f>IF(BY163=0,0,CA163/BY163)</f>
        <v>0</v>
      </c>
      <c r="CC163" s="52">
        <f>CC164+CC165+CC166</f>
        <v>0</v>
      </c>
      <c r="CD163" s="52">
        <f>CD164+CD165+CD166</f>
        <v>0</v>
      </c>
      <c r="CE163" s="52"/>
      <c r="CF163" s="52"/>
      <c r="CG163" s="52">
        <f>CG164+CG165+CG166</f>
        <v>0</v>
      </c>
      <c r="CH163" s="152">
        <f>CH164+CH165+CH166</f>
        <v>0</v>
      </c>
      <c r="CI163" s="52">
        <f t="shared" si="341"/>
        <v>0</v>
      </c>
      <c r="CJ163" s="109">
        <f>IF(CG163=0,0,CI163/CG163)</f>
        <v>0</v>
      </c>
      <c r="CK163" s="52">
        <f>CK164+CK165+CK166</f>
        <v>0</v>
      </c>
      <c r="CL163" s="52">
        <f>CL164+CL165+CL166</f>
        <v>0</v>
      </c>
      <c r="CM163" s="52"/>
      <c r="CN163" s="52"/>
      <c r="CO163" s="52">
        <f>CO164+CO165+CO166</f>
        <v>0</v>
      </c>
      <c r="CP163" s="52">
        <f>CP164+CP165+CP166</f>
        <v>0</v>
      </c>
      <c r="CQ163" s="52">
        <f t="shared" si="342"/>
        <v>0</v>
      </c>
      <c r="CR163" s="109">
        <f>IF(CO163=0,0,CQ163/CO163)</f>
        <v>0</v>
      </c>
      <c r="CS163" s="52">
        <f>CS164+CS165+CS166</f>
        <v>0</v>
      </c>
      <c r="CT163" s="52">
        <f>CT164+CT165+CT166</f>
        <v>0</v>
      </c>
      <c r="CU163" s="52"/>
      <c r="CV163" s="52"/>
      <c r="CW163" s="52">
        <f>CW164+CW165+CW166</f>
        <v>0</v>
      </c>
      <c r="CX163" s="52">
        <f>CX164+CX165+CX166</f>
        <v>0</v>
      </c>
      <c r="CY163" s="52">
        <f t="shared" si="343"/>
        <v>0</v>
      </c>
      <c r="CZ163" s="109">
        <f>IF(CW163=0,0,CY163/CW163)</f>
        <v>0</v>
      </c>
      <c r="DA163" s="52" t="e">
        <f>DA164+DA165+DA166</f>
        <v>#REF!</v>
      </c>
      <c r="DB163" s="84">
        <f>DB164+DB165+DB166</f>
        <v>0</v>
      </c>
      <c r="DC163" s="52" t="e">
        <f>DC164+DC165+DC166</f>
        <v>#REF!</v>
      </c>
      <c r="DD163" s="52" t="e">
        <f t="shared" si="344"/>
        <v>#REF!</v>
      </c>
      <c r="DE163" s="113">
        <f>IF(DB163=0,0,DD163/DB163)</f>
        <v>0</v>
      </c>
    </row>
    <row r="164" spans="1:109" ht="15.75" hidden="1">
      <c r="A164" s="98" t="s">
        <v>223</v>
      </c>
      <c r="B164" s="35" t="s">
        <v>124</v>
      </c>
      <c r="C164" s="10" t="s">
        <v>174</v>
      </c>
      <c r="D164" s="21"/>
      <c r="E164" s="21"/>
      <c r="F164" s="21"/>
      <c r="G164" s="21"/>
      <c r="H164" s="21"/>
      <c r="I164" s="21"/>
      <c r="J164" s="21"/>
      <c r="K164" s="52">
        <f t="shared" si="332"/>
        <v>0</v>
      </c>
      <c r="L164" s="109">
        <f t="shared" si="319"/>
        <v>0</v>
      </c>
      <c r="M164" s="51"/>
      <c r="N164" s="21"/>
      <c r="O164" s="21"/>
      <c r="P164" s="21"/>
      <c r="Q164" s="21"/>
      <c r="R164" s="21"/>
      <c r="S164" s="21"/>
      <c r="T164" s="52">
        <f t="shared" si="333"/>
        <v>0</v>
      </c>
      <c r="U164" s="109">
        <f>IF(R164=0,0,T164/R164)</f>
        <v>0</v>
      </c>
      <c r="V164" s="21"/>
      <c r="W164" s="21"/>
      <c r="X164" s="21"/>
      <c r="Y164" s="21"/>
      <c r="Z164" s="21"/>
      <c r="AA164" s="21"/>
      <c r="AB164" s="21"/>
      <c r="AC164" s="52">
        <f t="shared" si="334"/>
        <v>0</v>
      </c>
      <c r="AD164" s="109">
        <f>IF(AA164=0,0,AC164/AA164)</f>
        <v>0</v>
      </c>
      <c r="AE164" s="21"/>
      <c r="AF164" s="21"/>
      <c r="AG164" s="21"/>
      <c r="AH164" s="21"/>
      <c r="AI164" s="21"/>
      <c r="AJ164" s="21"/>
      <c r="AK164" s="21"/>
      <c r="AL164" s="52">
        <f t="shared" si="335"/>
        <v>0</v>
      </c>
      <c r="AM164" s="109">
        <f>IF(AJ164=0,0,AL164/AJ164)</f>
        <v>0</v>
      </c>
      <c r="AN164" s="21"/>
      <c r="AO164" s="21"/>
      <c r="AP164" s="21"/>
      <c r="AQ164" s="21"/>
      <c r="AR164" s="21"/>
      <c r="AS164" s="21"/>
      <c r="AT164" s="21"/>
      <c r="AU164" s="52">
        <f t="shared" si="336"/>
        <v>0</v>
      </c>
      <c r="AV164" s="109">
        <f>IF(AS164=0,0,AU164/AS164)</f>
        <v>0</v>
      </c>
      <c r="AW164" s="21"/>
      <c r="AX164" s="21"/>
      <c r="AY164" s="21"/>
      <c r="AZ164" s="21"/>
      <c r="BA164" s="21"/>
      <c r="BB164" s="21"/>
      <c r="BC164" s="52">
        <f t="shared" si="337"/>
        <v>0</v>
      </c>
      <c r="BD164" s="109">
        <f>IF(BA164=0,0,BC164/BA164)</f>
        <v>0</v>
      </c>
      <c r="BE164" s="21"/>
      <c r="BF164" s="21"/>
      <c r="BG164" s="21"/>
      <c r="BH164" s="21"/>
      <c r="BI164" s="21"/>
      <c r="BJ164" s="21"/>
      <c r="BK164" s="52">
        <f t="shared" si="338"/>
        <v>0</v>
      </c>
      <c r="BL164" s="109">
        <f>IF(BI164=0,0,BK164/BI164)</f>
        <v>0</v>
      </c>
      <c r="BM164" s="21"/>
      <c r="BN164" s="21"/>
      <c r="BO164" s="21"/>
      <c r="BP164" s="21"/>
      <c r="BQ164" s="21"/>
      <c r="BR164" s="21"/>
      <c r="BS164" s="52">
        <f t="shared" si="339"/>
        <v>0</v>
      </c>
      <c r="BT164" s="109">
        <f>IF(BQ164=0,0,BS164/BQ164)</f>
        <v>0</v>
      </c>
      <c r="BU164" s="21"/>
      <c r="BV164" s="21"/>
      <c r="BW164" s="21"/>
      <c r="BX164" s="21"/>
      <c r="BY164" s="21"/>
      <c r="BZ164" s="21"/>
      <c r="CA164" s="52">
        <f t="shared" si="340"/>
        <v>0</v>
      </c>
      <c r="CB164" s="109">
        <f>IF(BY164=0,0,CA164/BY164)</f>
        <v>0</v>
      </c>
      <c r="CC164" s="21"/>
      <c r="CD164" s="21"/>
      <c r="CE164" s="21"/>
      <c r="CF164" s="21"/>
      <c r="CG164" s="21"/>
      <c r="CH164" s="141"/>
      <c r="CI164" s="52">
        <f t="shared" si="341"/>
        <v>0</v>
      </c>
      <c r="CJ164" s="109">
        <f>IF(CG164=0,0,CI164/CG164)</f>
        <v>0</v>
      </c>
      <c r="CK164" s="21"/>
      <c r="CL164" s="21"/>
      <c r="CM164" s="21"/>
      <c r="CN164" s="21"/>
      <c r="CO164" s="21"/>
      <c r="CP164" s="21"/>
      <c r="CQ164" s="52">
        <f t="shared" si="342"/>
        <v>0</v>
      </c>
      <c r="CR164" s="109">
        <f>IF(CO164=0,0,CQ164/CO164)</f>
        <v>0</v>
      </c>
      <c r="CS164" s="21"/>
      <c r="CT164" s="21"/>
      <c r="CU164" s="21"/>
      <c r="CV164" s="21"/>
      <c r="CW164" s="21"/>
      <c r="CX164" s="21"/>
      <c r="CY164" s="52">
        <f t="shared" si="343"/>
        <v>0</v>
      </c>
      <c r="CZ164" s="109">
        <f>IF(CW164=0,0,CY164/CW164)</f>
        <v>0</v>
      </c>
      <c r="DA164" s="52" t="e">
        <f>J164+IF(#REF!&gt;=2,S164,0)+IF(#REF!&gt;=3,AB164,0)+IF(#REF!&gt;=4,AK164,0)+IF(#REF!&gt;=5,AT164,0)+IF(#REF!&gt;=6,BB164,0)+IF(#REF!&gt;=7,BJ164,0)+IF(#REF!&gt;=8,BR164,0)+IF(#REF!&gt;=9,BZ164,0)+IF(#REF!&gt;=10,CH164,0)+IF(#REF!&gt;=11,CP164,0)+IF(#REF!&gt;=12,CX164,0)</f>
        <v>#REF!</v>
      </c>
      <c r="DB164" s="84">
        <f>I164+R164+AA164+AJ164+AS164+BA164+BI164+BQ164+BY164+CG164+CO164+CW164</f>
        <v>0</v>
      </c>
      <c r="DC164" s="106" t="e">
        <f>IF(#REF!&gt;=1,J164,I164)+IF(#REF!&gt;=2,S164,R164)+IF(#REF!&gt;=3,AB164,AA164)+IF(#REF!&gt;=4,AK164,AJ164)+IF(#REF!&gt;=5,AT164,AS164)+IF(#REF!&gt;=6,BB164,BA164)+IF(#REF!&gt;=7,BJ164,BI164)+IF(#REF!&gt;=8,BR164,BQ164)+IF(#REF!&gt;=9,BZ164,BY164)+IF(#REF!&gt;=10,CH164,CG164)+IF(#REF!&gt;=11,CP164,CO164)+IF(#REF!&gt;=12,CX164,CW164)</f>
        <v>#REF!</v>
      </c>
      <c r="DD164" s="52" t="e">
        <f t="shared" si="344"/>
        <v>#REF!</v>
      </c>
      <c r="DE164" s="113">
        <f>IF(DB164=0,0,DD164/DB164)</f>
        <v>0</v>
      </c>
    </row>
    <row r="165" spans="1:109" ht="15.75" hidden="1">
      <c r="A165" s="98" t="s">
        <v>224</v>
      </c>
      <c r="B165" s="35" t="s">
        <v>126</v>
      </c>
      <c r="C165" s="10" t="s">
        <v>174</v>
      </c>
      <c r="D165" s="17"/>
      <c r="E165" s="17"/>
      <c r="F165" s="17"/>
      <c r="G165" s="17"/>
      <c r="H165" s="17"/>
      <c r="I165" s="17"/>
      <c r="J165" s="17"/>
      <c r="K165" s="52">
        <f t="shared" si="332"/>
        <v>0</v>
      </c>
      <c r="L165" s="109">
        <f t="shared" si="319"/>
        <v>0</v>
      </c>
      <c r="M165" s="17"/>
      <c r="N165" s="17"/>
      <c r="O165" s="17"/>
      <c r="P165" s="17"/>
      <c r="Q165" s="17"/>
      <c r="R165" s="17"/>
      <c r="S165" s="17"/>
      <c r="T165" s="52">
        <f t="shared" si="333"/>
        <v>0</v>
      </c>
      <c r="U165" s="109">
        <f>IF(R165=0,0,T165/R165)</f>
        <v>0</v>
      </c>
      <c r="V165" s="17"/>
      <c r="W165" s="17"/>
      <c r="X165" s="17"/>
      <c r="Y165" s="17"/>
      <c r="Z165" s="17"/>
      <c r="AA165" s="17"/>
      <c r="AB165" s="17"/>
      <c r="AC165" s="52">
        <f t="shared" si="334"/>
        <v>0</v>
      </c>
      <c r="AD165" s="109">
        <f>IF(AA165=0,0,AC165/AA165)</f>
        <v>0</v>
      </c>
      <c r="AE165" s="17"/>
      <c r="AF165" s="17"/>
      <c r="AG165" s="17"/>
      <c r="AH165" s="17"/>
      <c r="AI165" s="17"/>
      <c r="AJ165" s="17"/>
      <c r="AK165" s="17"/>
      <c r="AL165" s="52">
        <f t="shared" si="335"/>
        <v>0</v>
      </c>
      <c r="AM165" s="109">
        <f>IF(AJ165=0,0,AL165/AJ165)</f>
        <v>0</v>
      </c>
      <c r="AN165" s="17"/>
      <c r="AO165" s="17"/>
      <c r="AP165" s="17"/>
      <c r="AQ165" s="17"/>
      <c r="AR165" s="17"/>
      <c r="AS165" s="17"/>
      <c r="AT165" s="17"/>
      <c r="AU165" s="52">
        <f t="shared" si="336"/>
        <v>0</v>
      </c>
      <c r="AV165" s="109">
        <f>IF(AS165=0,0,AU165/AS165)</f>
        <v>0</v>
      </c>
      <c r="AW165" s="17"/>
      <c r="AX165" s="17"/>
      <c r="AY165" s="17"/>
      <c r="AZ165" s="17"/>
      <c r="BA165" s="17"/>
      <c r="BB165" s="17"/>
      <c r="BC165" s="52">
        <f t="shared" si="337"/>
        <v>0</v>
      </c>
      <c r="BD165" s="109">
        <f>IF(BA165=0,0,BC165/BA165)</f>
        <v>0</v>
      </c>
      <c r="BE165" s="17"/>
      <c r="BF165" s="17"/>
      <c r="BG165" s="17"/>
      <c r="BH165" s="17"/>
      <c r="BI165" s="17"/>
      <c r="BJ165" s="17"/>
      <c r="BK165" s="52">
        <f t="shared" si="338"/>
        <v>0</v>
      </c>
      <c r="BL165" s="109">
        <f>IF(BI165=0,0,BK165/BI165)</f>
        <v>0</v>
      </c>
      <c r="BM165" s="17"/>
      <c r="BN165" s="17"/>
      <c r="BO165" s="17"/>
      <c r="BP165" s="17"/>
      <c r="BQ165" s="17"/>
      <c r="BR165" s="17"/>
      <c r="BS165" s="52">
        <f t="shared" si="339"/>
        <v>0</v>
      </c>
      <c r="BT165" s="109">
        <f>IF(BQ165=0,0,BS165/BQ165)</f>
        <v>0</v>
      </c>
      <c r="BU165" s="17"/>
      <c r="BV165" s="17"/>
      <c r="BW165" s="17"/>
      <c r="BX165" s="17"/>
      <c r="BY165" s="17"/>
      <c r="BZ165" s="17"/>
      <c r="CA165" s="52">
        <f t="shared" si="340"/>
        <v>0</v>
      </c>
      <c r="CB165" s="109">
        <f>IF(BY165=0,0,CA165/BY165)</f>
        <v>0</v>
      </c>
      <c r="CC165" s="17"/>
      <c r="CD165" s="17"/>
      <c r="CE165" s="17"/>
      <c r="CF165" s="17"/>
      <c r="CG165" s="17"/>
      <c r="CH165" s="141"/>
      <c r="CI165" s="52">
        <f t="shared" si="341"/>
        <v>0</v>
      </c>
      <c r="CJ165" s="109">
        <f>IF(CG165=0,0,CI165/CG165)</f>
        <v>0</v>
      </c>
      <c r="CK165" s="17"/>
      <c r="CL165" s="17"/>
      <c r="CM165" s="17"/>
      <c r="CN165" s="17"/>
      <c r="CO165" s="17"/>
      <c r="CP165" s="17"/>
      <c r="CQ165" s="52">
        <f t="shared" si="342"/>
        <v>0</v>
      </c>
      <c r="CR165" s="109">
        <f>IF(CO165=0,0,CQ165/CO165)</f>
        <v>0</v>
      </c>
      <c r="CS165" s="17"/>
      <c r="CT165" s="17"/>
      <c r="CU165" s="17"/>
      <c r="CV165" s="17"/>
      <c r="CW165" s="17"/>
      <c r="CX165" s="17"/>
      <c r="CY165" s="52">
        <f t="shared" si="343"/>
        <v>0</v>
      </c>
      <c r="CZ165" s="109">
        <f>IF(CW165=0,0,CY165/CW165)</f>
        <v>0</v>
      </c>
      <c r="DA165" s="52" t="e">
        <f>J165+IF(#REF!&gt;=2,S165,0)+IF(#REF!&gt;=3,AB165,0)+IF(#REF!&gt;=4,AK165,0)+IF(#REF!&gt;=5,AT165,0)+IF(#REF!&gt;=6,BB165,0)+IF(#REF!&gt;=7,BJ165,0)+IF(#REF!&gt;=8,BR165,0)+IF(#REF!&gt;=9,BZ165,0)+IF(#REF!&gt;=10,CH165,0)+IF(#REF!&gt;=11,CP165,0)+IF(#REF!&gt;=12,CX165,0)</f>
        <v>#REF!</v>
      </c>
      <c r="DB165" s="84">
        <f>I165+R165+AA165+AJ165+AS165+BA165+BI165+BQ165+BY165+CG165+CO165+CW165</f>
        <v>0</v>
      </c>
      <c r="DC165" s="106" t="e">
        <f>IF(#REF!&gt;=1,J165,I165)+IF(#REF!&gt;=2,S165,R165)+IF(#REF!&gt;=3,AB165,AA165)+IF(#REF!&gt;=4,AK165,AJ165)+IF(#REF!&gt;=5,AT165,AS165)+IF(#REF!&gt;=6,BB165,BA165)+IF(#REF!&gt;=7,BJ165,BI165)+IF(#REF!&gt;=8,BR165,BQ165)+IF(#REF!&gt;=9,BZ165,BY165)+IF(#REF!&gt;=10,CH165,CG165)+IF(#REF!&gt;=11,CP165,CO165)+IF(#REF!&gt;=12,CX165,CW165)</f>
        <v>#REF!</v>
      </c>
      <c r="DD165" s="52" t="e">
        <f t="shared" si="344"/>
        <v>#REF!</v>
      </c>
      <c r="DE165" s="113">
        <f>IF(DB165=0,0,DD165/DB165)</f>
        <v>0</v>
      </c>
    </row>
    <row r="166" spans="1:109" ht="15.75" hidden="1">
      <c r="A166" s="98" t="s">
        <v>225</v>
      </c>
      <c r="B166" s="35" t="s">
        <v>46</v>
      </c>
      <c r="C166" s="10" t="s">
        <v>174</v>
      </c>
      <c r="D166" s="21"/>
      <c r="E166" s="21"/>
      <c r="F166" s="21"/>
      <c r="G166" s="21"/>
      <c r="H166" s="21"/>
      <c r="I166" s="21"/>
      <c r="J166" s="21"/>
      <c r="K166" s="52">
        <f t="shared" si="332"/>
        <v>0</v>
      </c>
      <c r="L166" s="109">
        <f t="shared" si="319"/>
        <v>0</v>
      </c>
      <c r="M166" s="54"/>
      <c r="N166" s="21"/>
      <c r="O166" s="21"/>
      <c r="P166" s="21"/>
      <c r="Q166" s="21"/>
      <c r="R166" s="21"/>
      <c r="S166" s="21"/>
      <c r="T166" s="52">
        <f t="shared" si="333"/>
        <v>0</v>
      </c>
      <c r="U166" s="109">
        <f>IF(R166=0,0,T166/R166)</f>
        <v>0</v>
      </c>
      <c r="V166" s="21"/>
      <c r="W166" s="21"/>
      <c r="X166" s="21"/>
      <c r="Y166" s="21"/>
      <c r="Z166" s="21"/>
      <c r="AA166" s="21"/>
      <c r="AB166" s="21"/>
      <c r="AC166" s="52">
        <f t="shared" si="334"/>
        <v>0</v>
      </c>
      <c r="AD166" s="109">
        <f>IF(AA166=0,0,AC166/AA166)</f>
        <v>0</v>
      </c>
      <c r="AE166" s="21"/>
      <c r="AF166" s="21"/>
      <c r="AG166" s="21"/>
      <c r="AH166" s="21"/>
      <c r="AI166" s="21"/>
      <c r="AJ166" s="21"/>
      <c r="AK166" s="21"/>
      <c r="AL166" s="52">
        <f t="shared" si="335"/>
        <v>0</v>
      </c>
      <c r="AM166" s="109">
        <f>IF(AJ166=0,0,AL166/AJ166)</f>
        <v>0</v>
      </c>
      <c r="AN166" s="21"/>
      <c r="AO166" s="21"/>
      <c r="AP166" s="21"/>
      <c r="AQ166" s="21"/>
      <c r="AR166" s="21"/>
      <c r="AS166" s="21"/>
      <c r="AT166" s="21"/>
      <c r="AU166" s="52">
        <f t="shared" si="336"/>
        <v>0</v>
      </c>
      <c r="AV166" s="109">
        <f>IF(AS166=0,0,AU166/AS166)</f>
        <v>0</v>
      </c>
      <c r="AW166" s="21"/>
      <c r="AX166" s="21"/>
      <c r="AY166" s="21"/>
      <c r="AZ166" s="21"/>
      <c r="BA166" s="21"/>
      <c r="BB166" s="21"/>
      <c r="BC166" s="52">
        <f t="shared" si="337"/>
        <v>0</v>
      </c>
      <c r="BD166" s="109">
        <f>IF(BA166=0,0,BC166/BA166)</f>
        <v>0</v>
      </c>
      <c r="BE166" s="21"/>
      <c r="BF166" s="21"/>
      <c r="BG166" s="21"/>
      <c r="BH166" s="21"/>
      <c r="BI166" s="21"/>
      <c r="BJ166" s="21"/>
      <c r="BK166" s="52">
        <f t="shared" si="338"/>
        <v>0</v>
      </c>
      <c r="BL166" s="109">
        <f>IF(BI166=0,0,BK166/BI166)</f>
        <v>0</v>
      </c>
      <c r="BM166" s="21"/>
      <c r="BN166" s="21"/>
      <c r="BO166" s="21"/>
      <c r="BP166" s="21"/>
      <c r="BQ166" s="21"/>
      <c r="BR166" s="21"/>
      <c r="BS166" s="52">
        <f t="shared" si="339"/>
        <v>0</v>
      </c>
      <c r="BT166" s="109">
        <f>IF(BQ166=0,0,BS166/BQ166)</f>
        <v>0</v>
      </c>
      <c r="BU166" s="21"/>
      <c r="BV166" s="21"/>
      <c r="BW166" s="21"/>
      <c r="BX166" s="21"/>
      <c r="BY166" s="21"/>
      <c r="BZ166" s="21"/>
      <c r="CA166" s="52">
        <f t="shared" si="340"/>
        <v>0</v>
      </c>
      <c r="CB166" s="109">
        <f>IF(BY166=0,0,CA166/BY166)</f>
        <v>0</v>
      </c>
      <c r="CC166" s="21"/>
      <c r="CD166" s="21"/>
      <c r="CE166" s="21"/>
      <c r="CF166" s="21"/>
      <c r="CG166" s="21"/>
      <c r="CH166" s="141"/>
      <c r="CI166" s="52">
        <f t="shared" si="341"/>
        <v>0</v>
      </c>
      <c r="CJ166" s="109">
        <f>IF(CG166=0,0,CI166/CG166)</f>
        <v>0</v>
      </c>
      <c r="CK166" s="21"/>
      <c r="CL166" s="21"/>
      <c r="CM166" s="21"/>
      <c r="CN166" s="21"/>
      <c r="CO166" s="21"/>
      <c r="CP166" s="21"/>
      <c r="CQ166" s="52">
        <f t="shared" si="342"/>
        <v>0</v>
      </c>
      <c r="CR166" s="109">
        <f>IF(CO166=0,0,CQ166/CO166)</f>
        <v>0</v>
      </c>
      <c r="CS166" s="21"/>
      <c r="CT166" s="21"/>
      <c r="CU166" s="21"/>
      <c r="CV166" s="21"/>
      <c r="CW166" s="21"/>
      <c r="CX166" s="21"/>
      <c r="CY166" s="52">
        <f t="shared" si="343"/>
        <v>0</v>
      </c>
      <c r="CZ166" s="109">
        <f>IF(CW166=0,0,CY166/CW166)</f>
        <v>0</v>
      </c>
      <c r="DA166" s="52" t="e">
        <f>J166+IF(#REF!&gt;=2,S166,0)+IF(#REF!&gt;=3,AB166,0)+IF(#REF!&gt;=4,AK166,0)+IF(#REF!&gt;=5,AT166,0)+IF(#REF!&gt;=6,BB166,0)+IF(#REF!&gt;=7,BJ166,0)+IF(#REF!&gt;=8,BR166,0)+IF(#REF!&gt;=9,BZ166,0)+IF(#REF!&gt;=10,CH166,0)+IF(#REF!&gt;=11,CP166,0)+IF(#REF!&gt;=12,CX166,0)</f>
        <v>#REF!</v>
      </c>
      <c r="DB166" s="84">
        <f>I166+R166+AA166+AJ166+AS166+BA166+BI166+BQ166+BY166+CG166+CO166+CW166</f>
        <v>0</v>
      </c>
      <c r="DC166" s="106" t="e">
        <f>IF(#REF!&gt;=1,J166,I166)+IF(#REF!&gt;=2,S166,R166)+IF(#REF!&gt;=3,AB166,AA166)+IF(#REF!&gt;=4,AK166,AJ166)+IF(#REF!&gt;=5,AT166,AS166)+IF(#REF!&gt;=6,BB166,BA166)+IF(#REF!&gt;=7,BJ166,BI166)+IF(#REF!&gt;=8,BR166,BQ166)+IF(#REF!&gt;=9,BZ166,BY166)+IF(#REF!&gt;=10,CH166,CG166)+IF(#REF!&gt;=11,CP166,CO166)+IF(#REF!&gt;=12,CX166,CW166)</f>
        <v>#REF!</v>
      </c>
      <c r="DD166" s="52" t="e">
        <f t="shared" si="344"/>
        <v>#REF!</v>
      </c>
      <c r="DE166" s="113">
        <f>IF(DB166=0,0,DD166/DB166)</f>
        <v>0</v>
      </c>
    </row>
    <row r="167" spans="1:109" ht="31.5" hidden="1">
      <c r="A167" s="98" t="s">
        <v>226</v>
      </c>
      <c r="B167" s="18" t="s">
        <v>48</v>
      </c>
      <c r="C167" s="10" t="s">
        <v>174</v>
      </c>
      <c r="D167" s="21"/>
      <c r="E167" s="21"/>
      <c r="F167" s="21"/>
      <c r="G167" s="21"/>
      <c r="H167" s="21"/>
      <c r="I167" s="21"/>
      <c r="J167" s="21"/>
      <c r="K167" s="52" t="s">
        <v>250</v>
      </c>
      <c r="L167" s="52" t="s">
        <v>250</v>
      </c>
      <c r="M167" s="17"/>
      <c r="N167" s="21"/>
      <c r="O167" s="21"/>
      <c r="P167" s="21"/>
      <c r="Q167" s="21"/>
      <c r="R167" s="21"/>
      <c r="S167" s="21"/>
      <c r="T167" s="52" t="s">
        <v>250</v>
      </c>
      <c r="U167" s="52" t="s">
        <v>250</v>
      </c>
      <c r="V167" s="21"/>
      <c r="W167" s="21"/>
      <c r="X167" s="21"/>
      <c r="Y167" s="21"/>
      <c r="Z167" s="21"/>
      <c r="AA167" s="21"/>
      <c r="AB167" s="21"/>
      <c r="AC167" s="52" t="s">
        <v>250</v>
      </c>
      <c r="AD167" s="52" t="s">
        <v>250</v>
      </c>
      <c r="AE167" s="21"/>
      <c r="AF167" s="21"/>
      <c r="AG167" s="21"/>
      <c r="AH167" s="21"/>
      <c r="AI167" s="21"/>
      <c r="AJ167" s="21"/>
      <c r="AK167" s="21"/>
      <c r="AL167" s="52" t="s">
        <v>250</v>
      </c>
      <c r="AM167" s="52" t="s">
        <v>250</v>
      </c>
      <c r="AN167" s="21"/>
      <c r="AO167" s="21"/>
      <c r="AP167" s="21"/>
      <c r="AQ167" s="21"/>
      <c r="AR167" s="21"/>
      <c r="AS167" s="21"/>
      <c r="AT167" s="21"/>
      <c r="AU167" s="52" t="s">
        <v>250</v>
      </c>
      <c r="AV167" s="52" t="s">
        <v>250</v>
      </c>
      <c r="AW167" s="21"/>
      <c r="AX167" s="21"/>
      <c r="AY167" s="21"/>
      <c r="AZ167" s="21"/>
      <c r="BA167" s="21"/>
      <c r="BB167" s="21"/>
      <c r="BC167" s="52" t="s">
        <v>250</v>
      </c>
      <c r="BD167" s="52" t="s">
        <v>250</v>
      </c>
      <c r="BE167" s="21"/>
      <c r="BF167" s="21"/>
      <c r="BG167" s="21"/>
      <c r="BH167" s="21"/>
      <c r="BI167" s="21"/>
      <c r="BJ167" s="21"/>
      <c r="BK167" s="52" t="s">
        <v>250</v>
      </c>
      <c r="BL167" s="52" t="s">
        <v>250</v>
      </c>
      <c r="BM167" s="21"/>
      <c r="BN167" s="21"/>
      <c r="BO167" s="21"/>
      <c r="BP167" s="21"/>
      <c r="BQ167" s="21"/>
      <c r="BR167" s="21"/>
      <c r="BS167" s="52" t="s">
        <v>250</v>
      </c>
      <c r="BT167" s="52" t="s">
        <v>250</v>
      </c>
      <c r="BU167" s="21"/>
      <c r="BV167" s="21"/>
      <c r="BW167" s="21"/>
      <c r="BX167" s="21"/>
      <c r="BY167" s="21"/>
      <c r="BZ167" s="21"/>
      <c r="CA167" s="52" t="s">
        <v>250</v>
      </c>
      <c r="CB167" s="52" t="s">
        <v>250</v>
      </c>
      <c r="CC167" s="21"/>
      <c r="CD167" s="21"/>
      <c r="CE167" s="21"/>
      <c r="CF167" s="21"/>
      <c r="CG167" s="21"/>
      <c r="CH167" s="141"/>
      <c r="CI167" s="52" t="s">
        <v>250</v>
      </c>
      <c r="CJ167" s="52" t="s">
        <v>250</v>
      </c>
      <c r="CK167" s="21"/>
      <c r="CL167" s="21"/>
      <c r="CM167" s="21"/>
      <c r="CN167" s="21"/>
      <c r="CO167" s="21"/>
      <c r="CP167" s="21"/>
      <c r="CQ167" s="52" t="s">
        <v>250</v>
      </c>
      <c r="CR167" s="52" t="s">
        <v>250</v>
      </c>
      <c r="CS167" s="21"/>
      <c r="CT167" s="21"/>
      <c r="CU167" s="21"/>
      <c r="CV167" s="21"/>
      <c r="CW167" s="21"/>
      <c r="CX167" s="21"/>
      <c r="CY167" s="52" t="s">
        <v>250</v>
      </c>
      <c r="CZ167" s="52" t="s">
        <v>250</v>
      </c>
      <c r="DA167" s="52" t="e">
        <f>J167+IF(#REF!&gt;=2,S167,0)+IF(#REF!&gt;=3,AB167,0)+IF(#REF!&gt;=4,AK167,0)+IF(#REF!&gt;=5,AT167,0)+IF(#REF!&gt;=6,BB167,0)+IF(#REF!&gt;=7,BJ167,0)+IF(#REF!&gt;=8,BR167,0)+IF(#REF!&gt;=9,BZ167,0)+IF(#REF!&gt;=10,CH167,0)+IF(#REF!&gt;=11,CP167,0)+IF(#REF!&gt;=12,CX167,0)</f>
        <v>#REF!</v>
      </c>
      <c r="DB167" s="84">
        <f>I167+R167+AA167+AJ167+AS167+BA167+BI167+BQ167+BY167+CG167+CO167+CW167</f>
        <v>0</v>
      </c>
      <c r="DC167" s="106" t="e">
        <f>IF(#REF!&gt;=1,J167,I167)+IF(#REF!&gt;=2,S167,R167)+IF(#REF!&gt;=3,AB167,AA167)+IF(#REF!&gt;=4,AK167,AJ167)+IF(#REF!&gt;=5,AT167,AS167)+IF(#REF!&gt;=6,BB167,BA167)+IF(#REF!&gt;=7,BJ167,BI167)+IF(#REF!&gt;=8,BR167,BQ167)+IF(#REF!&gt;=9,BZ167,BY167)+IF(#REF!&gt;=10,CH167,CG167)+IF(#REF!&gt;=11,CP167,CO167)+IF(#REF!&gt;=12,CX167,CW167)</f>
        <v>#REF!</v>
      </c>
      <c r="DD167" s="52" t="s">
        <v>250</v>
      </c>
      <c r="DE167" s="83" t="s">
        <v>250</v>
      </c>
    </row>
    <row r="168" spans="1:109" ht="15.75" hidden="1">
      <c r="A168" s="98" t="s">
        <v>227</v>
      </c>
      <c r="B168" s="220" t="s">
        <v>61</v>
      </c>
      <c r="C168" s="10" t="s">
        <v>174</v>
      </c>
      <c r="D168" s="56">
        <f>D156-D159-D163</f>
        <v>0</v>
      </c>
      <c r="E168" s="56">
        <f>E156-E159-E163</f>
        <v>0</v>
      </c>
      <c r="F168" s="56"/>
      <c r="G168" s="56"/>
      <c r="H168" s="56"/>
      <c r="I168" s="56">
        <f>I156-I159-I163</f>
        <v>0</v>
      </c>
      <c r="J168" s="56">
        <f>J156-J159-J163</f>
        <v>0</v>
      </c>
      <c r="K168" s="56">
        <f t="shared" si="332"/>
        <v>0</v>
      </c>
      <c r="L168" s="52" t="s">
        <v>250</v>
      </c>
      <c r="M168" s="17">
        <f>M156-M159-M163</f>
        <v>0</v>
      </c>
      <c r="N168" s="56">
        <f>N156-N159-N163</f>
        <v>0</v>
      </c>
      <c r="O168" s="56"/>
      <c r="P168" s="56"/>
      <c r="Q168" s="56"/>
      <c r="R168" s="56">
        <f>R156-R159-R163</f>
        <v>0</v>
      </c>
      <c r="S168" s="56">
        <f>S156-S159-S163</f>
        <v>0</v>
      </c>
      <c r="T168" s="56">
        <f>S168-R168</f>
        <v>0</v>
      </c>
      <c r="U168" s="52" t="s">
        <v>250</v>
      </c>
      <c r="V168" s="56">
        <f>V156-V159-V163</f>
        <v>0</v>
      </c>
      <c r="W168" s="56">
        <f>W156-W159-W163</f>
        <v>0</v>
      </c>
      <c r="X168" s="56"/>
      <c r="Y168" s="56"/>
      <c r="Z168" s="56"/>
      <c r="AA168" s="56">
        <f>AA156-AA159-AA163</f>
        <v>0</v>
      </c>
      <c r="AB168" s="56">
        <f>AB156-AB159-AB163</f>
        <v>0</v>
      </c>
      <c r="AC168" s="56">
        <f>AB168-AA168</f>
        <v>0</v>
      </c>
      <c r="AD168" s="52" t="s">
        <v>250</v>
      </c>
      <c r="AE168" s="56">
        <f>AE156-AE159-AE163</f>
        <v>0</v>
      </c>
      <c r="AF168" s="56">
        <f>AF156-AF159-AF163</f>
        <v>0</v>
      </c>
      <c r="AG168" s="56"/>
      <c r="AH168" s="56"/>
      <c r="AI168" s="56"/>
      <c r="AJ168" s="56">
        <f>AJ156-AJ159-AJ163</f>
        <v>0</v>
      </c>
      <c r="AK168" s="56">
        <f>AK156-AK159-AK163</f>
        <v>0</v>
      </c>
      <c r="AL168" s="56">
        <f>AK168-AJ168</f>
        <v>0</v>
      </c>
      <c r="AM168" s="52" t="s">
        <v>250</v>
      </c>
      <c r="AN168" s="56">
        <f>AN156-AN159-AN163</f>
        <v>0</v>
      </c>
      <c r="AO168" s="56">
        <f>AO156-AO159-AO163</f>
        <v>0</v>
      </c>
      <c r="AP168" s="56"/>
      <c r="AQ168" s="56"/>
      <c r="AR168" s="56"/>
      <c r="AS168" s="56">
        <f>AS156-AS159-AS163</f>
        <v>0</v>
      </c>
      <c r="AT168" s="56">
        <f>AT156-AT159-AT163</f>
        <v>0</v>
      </c>
      <c r="AU168" s="56">
        <f>AT168-AS168</f>
        <v>0</v>
      </c>
      <c r="AV168" s="52" t="s">
        <v>250</v>
      </c>
      <c r="AW168" s="56">
        <f>AW156-AW159-AW163</f>
        <v>0</v>
      </c>
      <c r="AX168" s="56">
        <f>AX156-AX159-AX163</f>
        <v>0</v>
      </c>
      <c r="AY168" s="56"/>
      <c r="AZ168" s="56"/>
      <c r="BA168" s="56">
        <f>BA156-BA159-BA163</f>
        <v>0</v>
      </c>
      <c r="BB168" s="56">
        <f>BB156-BB159-BB163</f>
        <v>0</v>
      </c>
      <c r="BC168" s="56">
        <f>BB168-BA168</f>
        <v>0</v>
      </c>
      <c r="BD168" s="52" t="s">
        <v>250</v>
      </c>
      <c r="BE168" s="56">
        <f>BE156-BE159-BE163</f>
        <v>0</v>
      </c>
      <c r="BF168" s="56"/>
      <c r="BG168" s="56">
        <f>BG156-BG159-BG163</f>
        <v>0</v>
      </c>
      <c r="BH168" s="56"/>
      <c r="BI168" s="56">
        <f>BI156-BI159-BI163</f>
        <v>0</v>
      </c>
      <c r="BJ168" s="56">
        <f>BJ156-BJ159-BJ163</f>
        <v>0</v>
      </c>
      <c r="BK168" s="56">
        <f>BJ168-BI168</f>
        <v>0</v>
      </c>
      <c r="BL168" s="52" t="s">
        <v>250</v>
      </c>
      <c r="BM168" s="56">
        <f>BM156-BM159-BM163</f>
        <v>0</v>
      </c>
      <c r="BN168" s="56">
        <f>BN156-BN159-BN163</f>
        <v>0</v>
      </c>
      <c r="BO168" s="56"/>
      <c r="BP168" s="56"/>
      <c r="BQ168" s="56">
        <f>BQ156-BQ159-BQ163</f>
        <v>0</v>
      </c>
      <c r="BR168" s="56">
        <f>BR156-BR159-BR163</f>
        <v>0</v>
      </c>
      <c r="BS168" s="56">
        <f>BR168-BQ168</f>
        <v>0</v>
      </c>
      <c r="BT168" s="52" t="s">
        <v>250</v>
      </c>
      <c r="BU168" s="56">
        <f>BU156-BU159-BU163</f>
        <v>0</v>
      </c>
      <c r="BV168" s="56">
        <f>BV156-BV159-BV163</f>
        <v>0</v>
      </c>
      <c r="BW168" s="56"/>
      <c r="BX168" s="56"/>
      <c r="BY168" s="56">
        <f>BY156-BY159-BY163</f>
        <v>0</v>
      </c>
      <c r="BZ168" s="56">
        <f>BZ156-BZ159-BZ163</f>
        <v>0</v>
      </c>
      <c r="CA168" s="56">
        <f>BZ168-BY168</f>
        <v>0</v>
      </c>
      <c r="CB168" s="52" t="s">
        <v>250</v>
      </c>
      <c r="CC168" s="56">
        <f>CC156-CC159-CC163</f>
        <v>0</v>
      </c>
      <c r="CD168" s="56">
        <f>CD156-CD159-CD163</f>
        <v>0</v>
      </c>
      <c r="CE168" s="56"/>
      <c r="CF168" s="56"/>
      <c r="CG168" s="56">
        <f>CG156-CG159-CG163</f>
        <v>0</v>
      </c>
      <c r="CH168" s="181">
        <f>CH156-CH159-CH163</f>
        <v>0</v>
      </c>
      <c r="CI168" s="56">
        <f>CH168-CG168</f>
        <v>0</v>
      </c>
      <c r="CJ168" s="52" t="s">
        <v>250</v>
      </c>
      <c r="CK168" s="56">
        <f>CK156-CK159-CK163</f>
        <v>0</v>
      </c>
      <c r="CL168" s="56">
        <f>CL156-CL159-CL163</f>
        <v>0</v>
      </c>
      <c r="CM168" s="56"/>
      <c r="CN168" s="56"/>
      <c r="CO168" s="56">
        <f>CO156-CO159-CO163</f>
        <v>0</v>
      </c>
      <c r="CP168" s="56">
        <f>CP156-CP159-CP163</f>
        <v>0</v>
      </c>
      <c r="CQ168" s="56">
        <f>CP168-CO168</f>
        <v>0</v>
      </c>
      <c r="CR168" s="52" t="s">
        <v>250</v>
      </c>
      <c r="CS168" s="56">
        <f>CS156-CS159-CS163</f>
        <v>0</v>
      </c>
      <c r="CT168" s="56">
        <f>CT156-CT159-CT163</f>
        <v>0</v>
      </c>
      <c r="CU168" s="56"/>
      <c r="CV168" s="56"/>
      <c r="CW168" s="56">
        <f>CW156-CW159-CW163</f>
        <v>0</v>
      </c>
      <c r="CX168" s="56">
        <f>CX156-CX159-CX163</f>
        <v>0</v>
      </c>
      <c r="CY168" s="56">
        <f>CX168-CW168</f>
        <v>0</v>
      </c>
      <c r="CZ168" s="52" t="s">
        <v>250</v>
      </c>
      <c r="DA168" s="56" t="e">
        <f>DA156-DA159-DA163</f>
        <v>#REF!</v>
      </c>
      <c r="DB168" s="88">
        <f>DB156-DB159-DB163</f>
        <v>0</v>
      </c>
      <c r="DC168" s="56" t="e">
        <f>DC156-DC159-DC163</f>
        <v>#REF!</v>
      </c>
      <c r="DD168" s="56" t="e">
        <f>DC168-DB168</f>
        <v>#REF!</v>
      </c>
      <c r="DE168" s="83" t="s">
        <v>250</v>
      </c>
    </row>
    <row r="169" spans="1:109" ht="15.75" hidden="1">
      <c r="A169" s="98" t="s">
        <v>228</v>
      </c>
      <c r="B169" s="220"/>
      <c r="C169" s="10" t="s">
        <v>1</v>
      </c>
      <c r="D169" s="51">
        <f>IF(D156=0,0,D168/D156)</f>
        <v>0</v>
      </c>
      <c r="E169" s="51">
        <f>IF(E156=0,0,E168/E156)</f>
        <v>0</v>
      </c>
      <c r="F169" s="51"/>
      <c r="G169" s="51"/>
      <c r="H169" s="51"/>
      <c r="I169" s="51">
        <f>IF(I156=0,0,I168/I156)</f>
        <v>0</v>
      </c>
      <c r="J169" s="51">
        <f>IF(J156=0,0,J168/J156)</f>
        <v>0</v>
      </c>
      <c r="K169" s="51">
        <f t="shared" si="332"/>
        <v>0</v>
      </c>
      <c r="L169" s="52" t="s">
        <v>250</v>
      </c>
      <c r="M169" s="52">
        <f>IF(M156=0,0,M168/M156)</f>
        <v>0</v>
      </c>
      <c r="N169" s="51">
        <f>IF(N156=0,0,N168/N156)</f>
        <v>0</v>
      </c>
      <c r="O169" s="51"/>
      <c r="P169" s="51"/>
      <c r="Q169" s="51"/>
      <c r="R169" s="51">
        <f>IF(R156=0,0,R168/R156)</f>
        <v>0</v>
      </c>
      <c r="S169" s="51">
        <f>IF(S156=0,0,S168/S156)</f>
        <v>0</v>
      </c>
      <c r="T169" s="51">
        <f>S169-R169</f>
        <v>0</v>
      </c>
      <c r="U169" s="52" t="s">
        <v>250</v>
      </c>
      <c r="V169" s="51">
        <f>IF(V156=0,0,V168/V156)</f>
        <v>0</v>
      </c>
      <c r="W169" s="51">
        <f>IF(W156=0,0,W168/W156)</f>
        <v>0</v>
      </c>
      <c r="X169" s="51"/>
      <c r="Y169" s="51"/>
      <c r="Z169" s="51"/>
      <c r="AA169" s="51">
        <f>IF(AA156=0,0,AA168/AA156)</f>
        <v>0</v>
      </c>
      <c r="AB169" s="51">
        <f>IF(AB156=0,0,AB168/AB156)</f>
        <v>0</v>
      </c>
      <c r="AC169" s="51">
        <f>AB169-AA169</f>
        <v>0</v>
      </c>
      <c r="AD169" s="52" t="s">
        <v>250</v>
      </c>
      <c r="AE169" s="51">
        <f>IF(AE156=0,0,AE168/AE156)</f>
        <v>0</v>
      </c>
      <c r="AF169" s="51">
        <f>IF(AF156=0,0,AF168/AF156)</f>
        <v>0</v>
      </c>
      <c r="AG169" s="51"/>
      <c r="AH169" s="51"/>
      <c r="AI169" s="51"/>
      <c r="AJ169" s="51">
        <f>IF(AJ156=0,0,AJ168/AJ156)</f>
        <v>0</v>
      </c>
      <c r="AK169" s="51">
        <f>IF(AK156=0,0,AK168/AK156)</f>
        <v>0</v>
      </c>
      <c r="AL169" s="51">
        <f>AK169-AJ169</f>
        <v>0</v>
      </c>
      <c r="AM169" s="52" t="s">
        <v>250</v>
      </c>
      <c r="AN169" s="51">
        <f>IF(AN156=0,0,AN168/AN156)</f>
        <v>0</v>
      </c>
      <c r="AO169" s="51">
        <f>IF(AO156=0,0,AO168/AO156)</f>
        <v>0</v>
      </c>
      <c r="AP169" s="51"/>
      <c r="AQ169" s="51"/>
      <c r="AR169" s="51"/>
      <c r="AS169" s="51">
        <f>IF(AS156=0,0,AS168/AS156)</f>
        <v>0</v>
      </c>
      <c r="AT169" s="51">
        <f>IF(AT156=0,0,AT168/AT156)</f>
        <v>0</v>
      </c>
      <c r="AU169" s="51">
        <f>AT169-AS169</f>
        <v>0</v>
      </c>
      <c r="AV169" s="52" t="s">
        <v>250</v>
      </c>
      <c r="AW169" s="51">
        <f>IF(AW156=0,0,AW168/AW156)</f>
        <v>0</v>
      </c>
      <c r="AX169" s="51">
        <f>IF(AX156=0,0,AX168/AX156)</f>
        <v>0</v>
      </c>
      <c r="AY169" s="51"/>
      <c r="AZ169" s="51"/>
      <c r="BA169" s="51">
        <f>IF(BA156=0,0,BA168/BA156)</f>
        <v>0</v>
      </c>
      <c r="BB169" s="51">
        <f>IF(BB156=0,0,BB168/BB156)</f>
        <v>0</v>
      </c>
      <c r="BC169" s="51">
        <f>BB169-BA169</f>
        <v>0</v>
      </c>
      <c r="BD169" s="52" t="s">
        <v>250</v>
      </c>
      <c r="BE169" s="51">
        <f>IF(BE156=0,0,BE168/BE156)</f>
        <v>0</v>
      </c>
      <c r="BF169" s="51"/>
      <c r="BG169" s="51">
        <f>IF(BG156=0,0,BG168/BG156)</f>
        <v>0</v>
      </c>
      <c r="BH169" s="51"/>
      <c r="BI169" s="51">
        <f>IF(BI156=0,0,BI168/BI156)</f>
        <v>0</v>
      </c>
      <c r="BJ169" s="51">
        <f>IF(BJ156=0,0,BJ168/BJ156)</f>
        <v>0</v>
      </c>
      <c r="BK169" s="51">
        <f>BJ169-BI169</f>
        <v>0</v>
      </c>
      <c r="BL169" s="52" t="s">
        <v>250</v>
      </c>
      <c r="BM169" s="51">
        <f>IF(BM156=0,0,BM168/BM156)</f>
        <v>0</v>
      </c>
      <c r="BN169" s="51">
        <f>IF(BN156=0,0,BN168/BN156)</f>
        <v>0</v>
      </c>
      <c r="BO169" s="51"/>
      <c r="BP169" s="51"/>
      <c r="BQ169" s="51">
        <f>IF(BQ156=0,0,BQ168/BQ156)</f>
        <v>0</v>
      </c>
      <c r="BR169" s="51">
        <f>IF(BR156=0,0,BR168/BR156)</f>
        <v>0</v>
      </c>
      <c r="BS169" s="51">
        <f>BR169-BQ169</f>
        <v>0</v>
      </c>
      <c r="BT169" s="52" t="s">
        <v>250</v>
      </c>
      <c r="BU169" s="51">
        <f>IF(BU156=0,0,BU168/BU156)</f>
        <v>0</v>
      </c>
      <c r="BV169" s="51">
        <f>IF(BV156=0,0,BV168/BV156)</f>
        <v>0</v>
      </c>
      <c r="BW169" s="51"/>
      <c r="BX169" s="51"/>
      <c r="BY169" s="51">
        <f>IF(BY156=0,0,BY168/BY156)</f>
        <v>0</v>
      </c>
      <c r="BZ169" s="51">
        <f>IF(BZ156=0,0,BZ168/BZ156)</f>
        <v>0</v>
      </c>
      <c r="CA169" s="51">
        <f>BZ169-BY169</f>
        <v>0</v>
      </c>
      <c r="CB169" s="52" t="s">
        <v>250</v>
      </c>
      <c r="CC169" s="51">
        <f>IF(CC156=0,0,CC168/CC156)</f>
        <v>0</v>
      </c>
      <c r="CD169" s="51">
        <f>IF(CD156=0,0,CD168/CD156)</f>
        <v>0</v>
      </c>
      <c r="CE169" s="51"/>
      <c r="CF169" s="51"/>
      <c r="CG169" s="51">
        <f>IF(CG156=0,0,CG168/CG156)</f>
        <v>0</v>
      </c>
      <c r="CH169" s="152">
        <f>IF(CH156=0,0,CH168/CH156)</f>
        <v>0</v>
      </c>
      <c r="CI169" s="51">
        <f>CH169-CG169</f>
        <v>0</v>
      </c>
      <c r="CJ169" s="52" t="s">
        <v>250</v>
      </c>
      <c r="CK169" s="51">
        <f>IF(CK156=0,0,CK168/CK156)</f>
        <v>0</v>
      </c>
      <c r="CL169" s="51">
        <f>IF(CL156=0,0,CL168/CL156)</f>
        <v>0</v>
      </c>
      <c r="CM169" s="51"/>
      <c r="CN169" s="51"/>
      <c r="CO169" s="51">
        <f>IF(CO156=0,0,CO168/CO156)</f>
        <v>0</v>
      </c>
      <c r="CP169" s="51">
        <f>IF(CP156=0,0,CP168/CP156)</f>
        <v>0</v>
      </c>
      <c r="CQ169" s="51">
        <f>CP169-CO169</f>
        <v>0</v>
      </c>
      <c r="CR169" s="52" t="s">
        <v>250</v>
      </c>
      <c r="CS169" s="51">
        <f>IF(CS156=0,0,CS168/CS156)</f>
        <v>0</v>
      </c>
      <c r="CT169" s="51">
        <f>IF(CT156=0,0,CT168/CT156)</f>
        <v>0</v>
      </c>
      <c r="CU169" s="51"/>
      <c r="CV169" s="51"/>
      <c r="CW169" s="51">
        <f>IF(CW156=0,0,CW168/CW156)</f>
        <v>0</v>
      </c>
      <c r="CX169" s="51">
        <f>IF(CX156=0,0,CX168/CX156)</f>
        <v>0</v>
      </c>
      <c r="CY169" s="51">
        <f>CX169-CW169</f>
        <v>0</v>
      </c>
      <c r="CZ169" s="52" t="s">
        <v>250</v>
      </c>
      <c r="DA169" s="51" t="e">
        <f>IF(DA156=0,0,DA168/DA156)</f>
        <v>#REF!</v>
      </c>
      <c r="DB169" s="85">
        <f>IF(DB156=0,0,DB168/DB156)</f>
        <v>0</v>
      </c>
      <c r="DC169" s="51" t="e">
        <f>IF(DC156=0,0,DC168/DC156)</f>
        <v>#REF!</v>
      </c>
      <c r="DD169" s="51" t="e">
        <f>DC169-DB169</f>
        <v>#REF!</v>
      </c>
      <c r="DE169" s="83" t="s">
        <v>250</v>
      </c>
    </row>
    <row r="170" spans="1:109" ht="15.75" hidden="1">
      <c r="A170" s="98" t="s">
        <v>229</v>
      </c>
      <c r="B170" s="222" t="s">
        <v>108</v>
      </c>
      <c r="C170" s="10" t="s">
        <v>174</v>
      </c>
      <c r="D170" s="17"/>
      <c r="E170" s="17"/>
      <c r="F170" s="17"/>
      <c r="G170" s="17"/>
      <c r="H170" s="17"/>
      <c r="I170" s="17"/>
      <c r="J170" s="17"/>
      <c r="K170" s="52">
        <f t="shared" si="332"/>
        <v>0</v>
      </c>
      <c r="L170" s="52" t="s">
        <v>250</v>
      </c>
      <c r="M170" s="17"/>
      <c r="N170" s="17"/>
      <c r="O170" s="17"/>
      <c r="P170" s="17"/>
      <c r="Q170" s="17"/>
      <c r="R170" s="17"/>
      <c r="S170" s="17"/>
      <c r="T170" s="52">
        <f>S170-R170</f>
        <v>0</v>
      </c>
      <c r="U170" s="52" t="s">
        <v>250</v>
      </c>
      <c r="V170" s="17"/>
      <c r="W170" s="17"/>
      <c r="X170" s="17"/>
      <c r="Y170" s="17"/>
      <c r="Z170" s="17"/>
      <c r="AA170" s="17"/>
      <c r="AB170" s="17"/>
      <c r="AC170" s="52">
        <f>AB170-AA170</f>
        <v>0</v>
      </c>
      <c r="AD170" s="52" t="s">
        <v>250</v>
      </c>
      <c r="AE170" s="17"/>
      <c r="AF170" s="17"/>
      <c r="AG170" s="17"/>
      <c r="AH170" s="17"/>
      <c r="AI170" s="17"/>
      <c r="AJ170" s="17"/>
      <c r="AK170" s="17"/>
      <c r="AL170" s="52">
        <f>AK170-AJ170</f>
        <v>0</v>
      </c>
      <c r="AM170" s="52" t="s">
        <v>250</v>
      </c>
      <c r="AN170" s="17"/>
      <c r="AO170" s="17"/>
      <c r="AP170" s="17"/>
      <c r="AQ170" s="17"/>
      <c r="AR170" s="17"/>
      <c r="AS170" s="17"/>
      <c r="AT170" s="17"/>
      <c r="AU170" s="52">
        <f>AT170-AS170</f>
        <v>0</v>
      </c>
      <c r="AV170" s="52" t="s">
        <v>250</v>
      </c>
      <c r="AW170" s="17"/>
      <c r="AX170" s="17"/>
      <c r="AY170" s="17"/>
      <c r="AZ170" s="17"/>
      <c r="BA170" s="17"/>
      <c r="BB170" s="17"/>
      <c r="BC170" s="52">
        <f>BB170-BA170</f>
        <v>0</v>
      </c>
      <c r="BD170" s="52" t="s">
        <v>250</v>
      </c>
      <c r="BE170" s="17"/>
      <c r="BF170" s="17"/>
      <c r="BG170" s="17"/>
      <c r="BH170" s="17"/>
      <c r="BI170" s="17"/>
      <c r="BJ170" s="17"/>
      <c r="BK170" s="52">
        <f>BJ170-BI170</f>
        <v>0</v>
      </c>
      <c r="BL170" s="52" t="s">
        <v>250</v>
      </c>
      <c r="BM170" s="17"/>
      <c r="BN170" s="17"/>
      <c r="BO170" s="17"/>
      <c r="BP170" s="17"/>
      <c r="BQ170" s="17"/>
      <c r="BR170" s="17"/>
      <c r="BS170" s="52">
        <f>BR170-BQ170</f>
        <v>0</v>
      </c>
      <c r="BT170" s="52" t="s">
        <v>250</v>
      </c>
      <c r="BU170" s="17"/>
      <c r="BV170" s="17"/>
      <c r="BW170" s="17"/>
      <c r="BX170" s="17"/>
      <c r="BY170" s="17"/>
      <c r="BZ170" s="17"/>
      <c r="CA170" s="52">
        <f>BZ170-BY170</f>
        <v>0</v>
      </c>
      <c r="CB170" s="52" t="s">
        <v>250</v>
      </c>
      <c r="CC170" s="17"/>
      <c r="CD170" s="17"/>
      <c r="CE170" s="17"/>
      <c r="CF170" s="17"/>
      <c r="CG170" s="17"/>
      <c r="CH170" s="141"/>
      <c r="CI170" s="52">
        <f>CH170-CG170</f>
        <v>0</v>
      </c>
      <c r="CJ170" s="52" t="s">
        <v>250</v>
      </c>
      <c r="CK170" s="17"/>
      <c r="CL170" s="17"/>
      <c r="CM170" s="17"/>
      <c r="CN170" s="17"/>
      <c r="CO170" s="17"/>
      <c r="CP170" s="17"/>
      <c r="CQ170" s="52">
        <f>CP170-CO170</f>
        <v>0</v>
      </c>
      <c r="CR170" s="52" t="s">
        <v>250</v>
      </c>
      <c r="CS170" s="17"/>
      <c r="CT170" s="17"/>
      <c r="CU170" s="17"/>
      <c r="CV170" s="17"/>
      <c r="CW170" s="17"/>
      <c r="CX170" s="17"/>
      <c r="CY170" s="52">
        <f>CX170-CW170</f>
        <v>0</v>
      </c>
      <c r="CZ170" s="52" t="s">
        <v>250</v>
      </c>
      <c r="DA170" s="50" t="e">
        <f>J170+IF(#REF!&gt;=2,S170,0)+IF(#REF!&gt;=3,AB170,0)+IF(#REF!&gt;=4,AK170,0)+IF(#REF!&gt;=5,AT170,0)+IF(#REF!&gt;=6,BB170,0)+IF(#REF!&gt;=7,BJ170,0)+IF(#REF!&gt;=8,BR170,0)+IF(#REF!&gt;=9,BZ170,0)+IF(#REF!&gt;=10,CH170,0)+IF(#REF!&gt;=11,CP170,0)+IF(#REF!&gt;=12,CX170,0)</f>
        <v>#REF!</v>
      </c>
      <c r="DB170" s="84">
        <f>I170+R170+AA170+AJ170+AS170+BA170+BI170+BQ170+BY170+CG170+CO170+CW170</f>
        <v>0</v>
      </c>
      <c r="DC170" s="106" t="e">
        <f>IF(#REF!&gt;=1,J170,I170)+IF(#REF!&gt;=2,S170,R170)+IF(#REF!&gt;=3,AB170,AA170)+IF(#REF!&gt;=4,AK170,AJ170)+IF(#REF!&gt;=5,AT170,AS170)+IF(#REF!&gt;=6,BB170,BA170)+IF(#REF!&gt;=7,BJ170,BI170)+IF(#REF!&gt;=8,BR170,BQ170)+IF(#REF!&gt;=9,BZ170,BY170)+IF(#REF!&gt;=10,CH170,CG170)+IF(#REF!&gt;=11,CP170,CO170)+IF(#REF!&gt;=12,CX170,CW170)</f>
        <v>#REF!</v>
      </c>
      <c r="DD170" s="52" t="e">
        <f>DC170-DB170</f>
        <v>#REF!</v>
      </c>
      <c r="DE170" s="83" t="s">
        <v>250</v>
      </c>
    </row>
    <row r="171" spans="1:109" ht="15.75" hidden="1">
      <c r="A171" s="98" t="s">
        <v>230</v>
      </c>
      <c r="B171" s="222"/>
      <c r="C171" s="10" t="s">
        <v>1</v>
      </c>
      <c r="D171" s="54">
        <f>IF(D156=0,0,D170/D156)</f>
        <v>0</v>
      </c>
      <c r="E171" s="54">
        <f>IF(E156=0,0,E170/E156)</f>
        <v>0</v>
      </c>
      <c r="F171" s="54"/>
      <c r="G171" s="54"/>
      <c r="H171" s="54"/>
      <c r="I171" s="54">
        <f>IF(I156=0,0,I170/I156)</f>
        <v>0</v>
      </c>
      <c r="J171" s="54">
        <f>IF(J156=0,0,J170/J156)</f>
        <v>0</v>
      </c>
      <c r="K171" s="51">
        <f t="shared" si="332"/>
        <v>0</v>
      </c>
      <c r="L171" s="52" t="s">
        <v>250</v>
      </c>
      <c r="M171" s="17">
        <f>IF(M156=0,0,M170/M156)</f>
        <v>0</v>
      </c>
      <c r="N171" s="54">
        <f>IF(N156=0,0,N170/N156)</f>
        <v>0</v>
      </c>
      <c r="O171" s="54"/>
      <c r="P171" s="54"/>
      <c r="Q171" s="54"/>
      <c r="R171" s="54">
        <f>IF(R156=0,0,R170/R156)</f>
        <v>0</v>
      </c>
      <c r="S171" s="54">
        <f>IF(S156=0,0,S170/S156)</f>
        <v>0</v>
      </c>
      <c r="T171" s="51">
        <f>S171-R171</f>
        <v>0</v>
      </c>
      <c r="U171" s="52" t="s">
        <v>250</v>
      </c>
      <c r="V171" s="54">
        <f>IF(V156=0,0,V170/V156)</f>
        <v>0</v>
      </c>
      <c r="W171" s="54">
        <f>IF(W156=0,0,W170/W156)</f>
        <v>0</v>
      </c>
      <c r="X171" s="54"/>
      <c r="Y171" s="54"/>
      <c r="Z171" s="54"/>
      <c r="AA171" s="54">
        <f>IF(AA156=0,0,AA170/AA156)</f>
        <v>0</v>
      </c>
      <c r="AB171" s="54">
        <f>IF(AB156=0,0,AB170/AB156)</f>
        <v>0</v>
      </c>
      <c r="AC171" s="51">
        <f>AB171-AA171</f>
        <v>0</v>
      </c>
      <c r="AD171" s="52" t="s">
        <v>250</v>
      </c>
      <c r="AE171" s="54">
        <f>IF(AE156=0,0,AE170/AE156)</f>
        <v>0</v>
      </c>
      <c r="AF171" s="54">
        <f>IF(AF156=0,0,AF170/AF156)</f>
        <v>0</v>
      </c>
      <c r="AG171" s="54"/>
      <c r="AH171" s="54"/>
      <c r="AI171" s="54"/>
      <c r="AJ171" s="54">
        <f>IF(AJ156=0,0,AJ170/AJ156)</f>
        <v>0</v>
      </c>
      <c r="AK171" s="54">
        <f>IF(AK156=0,0,AK170/AK156)</f>
        <v>0</v>
      </c>
      <c r="AL171" s="51">
        <f>AK171-AJ171</f>
        <v>0</v>
      </c>
      <c r="AM171" s="52" t="s">
        <v>250</v>
      </c>
      <c r="AN171" s="54">
        <f>IF(AN156=0,0,AN170/AN156)</f>
        <v>0</v>
      </c>
      <c r="AO171" s="54">
        <f>IF(AO156=0,0,AO170/AO156)</f>
        <v>0</v>
      </c>
      <c r="AP171" s="54"/>
      <c r="AQ171" s="54"/>
      <c r="AR171" s="54"/>
      <c r="AS171" s="54">
        <f>IF(AS156=0,0,AS170/AS156)</f>
        <v>0</v>
      </c>
      <c r="AT171" s="54">
        <f>IF(AT156=0,0,AT170/AT156)</f>
        <v>0</v>
      </c>
      <c r="AU171" s="51">
        <f>AT171-AS171</f>
        <v>0</v>
      </c>
      <c r="AV171" s="52" t="s">
        <v>250</v>
      </c>
      <c r="AW171" s="54">
        <f>IF(AW156=0,0,AW170/AW156)</f>
        <v>0</v>
      </c>
      <c r="AX171" s="54">
        <f>IF(AX156=0,0,AX170/AX156)</f>
        <v>0</v>
      </c>
      <c r="AY171" s="54"/>
      <c r="AZ171" s="54"/>
      <c r="BA171" s="54">
        <f>IF(BA156=0,0,BA170/BA156)</f>
        <v>0</v>
      </c>
      <c r="BB171" s="54">
        <f>IF(BB156=0,0,BB170/BB156)</f>
        <v>0</v>
      </c>
      <c r="BC171" s="51">
        <f>BB171-BA171</f>
        <v>0</v>
      </c>
      <c r="BD171" s="52" t="s">
        <v>250</v>
      </c>
      <c r="BE171" s="54">
        <f>IF(BE156=0,0,BE170/BE156)</f>
        <v>0</v>
      </c>
      <c r="BF171" s="54"/>
      <c r="BG171" s="54">
        <f>IF(BG156=0,0,BG170/BG156)</f>
        <v>0</v>
      </c>
      <c r="BH171" s="54"/>
      <c r="BI171" s="54">
        <f>IF(BI156=0,0,BI170/BI156)</f>
        <v>0</v>
      </c>
      <c r="BJ171" s="54">
        <f>IF(BJ156=0,0,BJ170/BJ156)</f>
        <v>0</v>
      </c>
      <c r="BK171" s="51">
        <f>BJ171-BI171</f>
        <v>0</v>
      </c>
      <c r="BL171" s="52" t="s">
        <v>250</v>
      </c>
      <c r="BM171" s="54">
        <f>IF(BM156=0,0,BM170/BM156)</f>
        <v>0</v>
      </c>
      <c r="BN171" s="54">
        <f>IF(BN156=0,0,BN170/BN156)</f>
        <v>0</v>
      </c>
      <c r="BO171" s="54"/>
      <c r="BP171" s="54"/>
      <c r="BQ171" s="54">
        <f>IF(BQ156=0,0,BQ170/BQ156)</f>
        <v>0</v>
      </c>
      <c r="BR171" s="54">
        <f>IF(BR156=0,0,BR170/BR156)</f>
        <v>0</v>
      </c>
      <c r="BS171" s="51">
        <f>BR171-BQ171</f>
        <v>0</v>
      </c>
      <c r="BT171" s="52" t="s">
        <v>250</v>
      </c>
      <c r="BU171" s="54">
        <f>IF(BU156=0,0,BU170/BU156)</f>
        <v>0</v>
      </c>
      <c r="BV171" s="54">
        <f>IF(BV156=0,0,BV170/BV156)</f>
        <v>0</v>
      </c>
      <c r="BW171" s="54"/>
      <c r="BX171" s="54"/>
      <c r="BY171" s="54">
        <f>IF(BY156=0,0,BY170/BY156)</f>
        <v>0</v>
      </c>
      <c r="BZ171" s="54">
        <f>IF(BZ156=0,0,BZ170/BZ156)</f>
        <v>0</v>
      </c>
      <c r="CA171" s="51">
        <f>BZ171-BY171</f>
        <v>0</v>
      </c>
      <c r="CB171" s="52" t="s">
        <v>250</v>
      </c>
      <c r="CC171" s="54">
        <f>IF(CC156=0,0,CC170/CC156)</f>
        <v>0</v>
      </c>
      <c r="CD171" s="54">
        <f>IF(CD156=0,0,CD170/CD156)</f>
        <v>0</v>
      </c>
      <c r="CE171" s="54"/>
      <c r="CF171" s="54"/>
      <c r="CG171" s="54">
        <f>IF(CG156=0,0,CG170/CG156)</f>
        <v>0</v>
      </c>
      <c r="CH171" s="180">
        <f>IF(CH156=0,0,CH170/CH156)</f>
        <v>0</v>
      </c>
      <c r="CI171" s="51">
        <f>CH171-CG171</f>
        <v>0</v>
      </c>
      <c r="CJ171" s="52" t="s">
        <v>250</v>
      </c>
      <c r="CK171" s="54">
        <f>IF(CK156=0,0,CK170/CK156)</f>
        <v>0</v>
      </c>
      <c r="CL171" s="54">
        <f>IF(CL156=0,0,CL170/CL156)</f>
        <v>0</v>
      </c>
      <c r="CM171" s="54"/>
      <c r="CN171" s="54"/>
      <c r="CO171" s="54">
        <f>IF(CO156=0,0,CO170/CO156)</f>
        <v>0</v>
      </c>
      <c r="CP171" s="54">
        <f>IF(CP156=0,0,CP170/CP156)</f>
        <v>0</v>
      </c>
      <c r="CQ171" s="51">
        <f>CP171-CO171</f>
        <v>0</v>
      </c>
      <c r="CR171" s="52" t="s">
        <v>250</v>
      </c>
      <c r="CS171" s="54">
        <f>IF(CS156=0,0,CS170/CS156)</f>
        <v>0</v>
      </c>
      <c r="CT171" s="54">
        <f>IF(CT156=0,0,CT170/CT156)</f>
        <v>0</v>
      </c>
      <c r="CU171" s="54"/>
      <c r="CV171" s="54"/>
      <c r="CW171" s="54">
        <f>IF(CW156=0,0,CW170/CW156)</f>
        <v>0</v>
      </c>
      <c r="CX171" s="54">
        <f>IF(CX156=0,0,CX170/CX156)</f>
        <v>0</v>
      </c>
      <c r="CY171" s="51">
        <f>CX171-CW171</f>
        <v>0</v>
      </c>
      <c r="CZ171" s="52" t="s">
        <v>250</v>
      </c>
      <c r="DA171" s="54" t="e">
        <f>IF(DA156=0,0,DA170/DA156)</f>
        <v>#REF!</v>
      </c>
      <c r="DB171" s="87">
        <f>IF(DB156=0,0,DB170/DB156)</f>
        <v>0</v>
      </c>
      <c r="DC171" s="54" t="e">
        <f>IF(DC156=0,0,DC170/DC156)</f>
        <v>#REF!</v>
      </c>
      <c r="DD171" s="51" t="e">
        <f>DC171-DB171</f>
        <v>#REF!</v>
      </c>
      <c r="DE171" s="83" t="s">
        <v>250</v>
      </c>
    </row>
    <row r="172" spans="1:109" ht="15.75" hidden="1">
      <c r="A172" s="98" t="s">
        <v>231</v>
      </c>
      <c r="B172" s="35" t="s">
        <v>232</v>
      </c>
      <c r="C172" s="10"/>
      <c r="D172" s="17"/>
      <c r="E172" s="17"/>
      <c r="F172" s="17"/>
      <c r="G172" s="17"/>
      <c r="H172" s="17"/>
      <c r="I172" s="17"/>
      <c r="J172" s="17"/>
      <c r="K172" s="52">
        <f t="shared" si="332"/>
        <v>0</v>
      </c>
      <c r="L172" s="109">
        <f t="shared" si="319"/>
        <v>0</v>
      </c>
      <c r="M172" s="17"/>
      <c r="N172" s="17"/>
      <c r="O172" s="17"/>
      <c r="P172" s="17"/>
      <c r="Q172" s="17"/>
      <c r="R172" s="17"/>
      <c r="S172" s="17"/>
      <c r="T172" s="52">
        <f>S172-R172</f>
        <v>0</v>
      </c>
      <c r="U172" s="109">
        <f>IF(R172=0,0,T172/R172)</f>
        <v>0</v>
      </c>
      <c r="V172" s="17"/>
      <c r="W172" s="17"/>
      <c r="X172" s="17"/>
      <c r="Y172" s="17"/>
      <c r="Z172" s="17"/>
      <c r="AA172" s="17"/>
      <c r="AB172" s="17"/>
      <c r="AC172" s="52">
        <f>AB172-AA172</f>
        <v>0</v>
      </c>
      <c r="AD172" s="109">
        <f>IF(AA172=0,0,AC172/AA172)</f>
        <v>0</v>
      </c>
      <c r="AE172" s="17"/>
      <c r="AF172" s="17"/>
      <c r="AG172" s="17"/>
      <c r="AH172" s="17"/>
      <c r="AI172" s="17"/>
      <c r="AJ172" s="17"/>
      <c r="AK172" s="17"/>
      <c r="AL172" s="52">
        <f>AK172-AJ172</f>
        <v>0</v>
      </c>
      <c r="AM172" s="109">
        <f>IF(AJ172=0,0,AL172/AJ172)</f>
        <v>0</v>
      </c>
      <c r="AN172" s="17"/>
      <c r="AO172" s="17"/>
      <c r="AP172" s="17"/>
      <c r="AQ172" s="17"/>
      <c r="AR172" s="17"/>
      <c r="AS172" s="17"/>
      <c r="AT172" s="17"/>
      <c r="AU172" s="52">
        <f>AT172-AS172</f>
        <v>0</v>
      </c>
      <c r="AV172" s="109">
        <f>IF(AS172=0,0,AU172/AS172)</f>
        <v>0</v>
      </c>
      <c r="AW172" s="17"/>
      <c r="AX172" s="17"/>
      <c r="AY172" s="17"/>
      <c r="AZ172" s="17"/>
      <c r="BA172" s="17"/>
      <c r="BB172" s="17"/>
      <c r="BC172" s="52">
        <f>BB172-BA172</f>
        <v>0</v>
      </c>
      <c r="BD172" s="109">
        <f>IF(BA172=0,0,BC172/BA172)</f>
        <v>0</v>
      </c>
      <c r="BE172" s="17"/>
      <c r="BF172" s="17"/>
      <c r="BG172" s="17"/>
      <c r="BH172" s="17"/>
      <c r="BI172" s="17"/>
      <c r="BJ172" s="17"/>
      <c r="BK172" s="52">
        <f>BJ172-BI172</f>
        <v>0</v>
      </c>
      <c r="BL172" s="109">
        <f>IF(BI172=0,0,BK172/BI172)</f>
        <v>0</v>
      </c>
      <c r="BM172" s="17"/>
      <c r="BN172" s="17"/>
      <c r="BO172" s="17"/>
      <c r="BP172" s="17"/>
      <c r="BQ172" s="17"/>
      <c r="BR172" s="17"/>
      <c r="BS172" s="52">
        <f>BR172-BQ172</f>
        <v>0</v>
      </c>
      <c r="BT172" s="109">
        <f>IF(BQ172=0,0,BS172/BQ172)</f>
        <v>0</v>
      </c>
      <c r="BU172" s="17"/>
      <c r="BV172" s="17"/>
      <c r="BW172" s="17"/>
      <c r="BX172" s="17"/>
      <c r="BY172" s="17"/>
      <c r="BZ172" s="17"/>
      <c r="CA172" s="52">
        <f>BZ172-BY172</f>
        <v>0</v>
      </c>
      <c r="CB172" s="109">
        <f>IF(BY172=0,0,CA172/BY172)</f>
        <v>0</v>
      </c>
      <c r="CC172" s="17"/>
      <c r="CD172" s="17"/>
      <c r="CE172" s="17"/>
      <c r="CF172" s="17"/>
      <c r="CG172" s="17"/>
      <c r="CH172" s="141"/>
      <c r="CI172" s="52">
        <f>CH172-CG172</f>
        <v>0</v>
      </c>
      <c r="CJ172" s="109">
        <f>IF(CG172=0,0,CI172/CG172)</f>
        <v>0</v>
      </c>
      <c r="CK172" s="17"/>
      <c r="CL172" s="17"/>
      <c r="CM172" s="17"/>
      <c r="CN172" s="17"/>
      <c r="CO172" s="17"/>
      <c r="CP172" s="17"/>
      <c r="CQ172" s="52">
        <f>CP172-CO172</f>
        <v>0</v>
      </c>
      <c r="CR172" s="109">
        <f>IF(CO172=0,0,CQ172/CO172)</f>
        <v>0</v>
      </c>
      <c r="CS172" s="17"/>
      <c r="CT172" s="17"/>
      <c r="CU172" s="17"/>
      <c r="CV172" s="17"/>
      <c r="CW172" s="17"/>
      <c r="CX172" s="17"/>
      <c r="CY172" s="52">
        <f>CX172-CW172</f>
        <v>0</v>
      </c>
      <c r="CZ172" s="109">
        <f>IF(CW172=0,0,CY172/CW172)</f>
        <v>0</v>
      </c>
      <c r="DA172" s="52" t="e">
        <f>J172+IF(#REF!&gt;=2,S172,0)+IF(#REF!&gt;=3,AB172,0)+IF(#REF!&gt;=4,AK172,0)+IF(#REF!&gt;=5,AT172,0)+IF(#REF!&gt;=6,BB172,0)+IF(#REF!&gt;=7,BJ172,0)+IF(#REF!&gt;=8,BR172,0)+IF(#REF!&gt;=9,BZ172,0)+IF(#REF!&gt;=10,CH172,0)+IF(#REF!&gt;=11,CP172,0)+IF(#REF!&gt;=12,CX172,0)</f>
        <v>#REF!</v>
      </c>
      <c r="DB172" s="84">
        <f>I172+R172+AA172+AJ172+AS172+BA172+BI172+BQ172+BY172+CG172+CO172+CW172</f>
        <v>0</v>
      </c>
      <c r="DC172" s="106" t="e">
        <f>IF(#REF!&gt;=1,J172,I172)+IF(#REF!&gt;=2,S172,R172)+IF(#REF!&gt;=3,AB172,AA172)+IF(#REF!&gt;=4,AK172,AJ172)+IF(#REF!&gt;=5,AT172,AS172)+IF(#REF!&gt;=6,BB172,BA172)+IF(#REF!&gt;=7,BJ172,BI172)+IF(#REF!&gt;=8,BR172,BQ172)+IF(#REF!&gt;=9,BZ172,BY172)+IF(#REF!&gt;=10,CH172,CG172)+IF(#REF!&gt;=11,CP172,CO172)+IF(#REF!&gt;=12,CX172,CW172)</f>
        <v>#REF!</v>
      </c>
      <c r="DD172" s="52" t="e">
        <f>DC172-DB172</f>
        <v>#REF!</v>
      </c>
      <c r="DE172" s="113">
        <f>IF(DB172=0,0,DD172/DB172)</f>
        <v>0</v>
      </c>
    </row>
    <row r="173" spans="1:109" s="8" customFormat="1" ht="18.75" hidden="1">
      <c r="A173" s="98" t="s">
        <v>233</v>
      </c>
      <c r="B173" s="37" t="s">
        <v>2</v>
      </c>
      <c r="C173" s="6"/>
      <c r="D173" s="38"/>
      <c r="E173" s="38"/>
      <c r="F173" s="38"/>
      <c r="G173" s="38"/>
      <c r="H173" s="38"/>
      <c r="I173" s="38"/>
      <c r="J173" s="38"/>
      <c r="K173" s="38"/>
      <c r="L173" s="38"/>
      <c r="M173" s="17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8"/>
      <c r="BP173" s="38"/>
      <c r="BQ173" s="38"/>
      <c r="BR173" s="38"/>
      <c r="BS173" s="38"/>
      <c r="BT173" s="38"/>
      <c r="BU173" s="38"/>
      <c r="BV173" s="38"/>
      <c r="BW173" s="38"/>
      <c r="BX173" s="38"/>
      <c r="BY173" s="38"/>
      <c r="BZ173" s="38"/>
      <c r="CA173" s="38"/>
      <c r="CB173" s="38"/>
      <c r="CC173" s="38"/>
      <c r="CD173" s="38"/>
      <c r="CE173" s="38"/>
      <c r="CF173" s="38"/>
      <c r="CG173" s="38"/>
      <c r="CH173" s="182"/>
      <c r="CI173" s="38"/>
      <c r="CJ173" s="38"/>
      <c r="CK173" s="38"/>
      <c r="CL173" s="38"/>
      <c r="CM173" s="38"/>
      <c r="CN173" s="38"/>
      <c r="CO173" s="38"/>
      <c r="CP173" s="38"/>
      <c r="CQ173" s="38"/>
      <c r="CR173" s="38"/>
      <c r="CS173" s="38"/>
      <c r="CT173" s="38"/>
      <c r="CU173" s="38"/>
      <c r="CV173" s="38"/>
      <c r="CW173" s="38"/>
      <c r="CX173" s="38"/>
      <c r="CY173" s="38"/>
      <c r="CZ173" s="38"/>
      <c r="DA173" s="38"/>
      <c r="DB173" s="89"/>
      <c r="DC173" s="38"/>
      <c r="DD173" s="38"/>
      <c r="DE173" s="90"/>
    </row>
    <row r="174" spans="1:109" ht="15.75" hidden="1">
      <c r="A174" s="98" t="s">
        <v>234</v>
      </c>
      <c r="B174" s="44" t="s">
        <v>235</v>
      </c>
      <c r="C174" s="10" t="s">
        <v>174</v>
      </c>
      <c r="D174" s="17"/>
      <c r="E174" s="17"/>
      <c r="F174" s="17"/>
      <c r="G174" s="17"/>
      <c r="H174" s="17"/>
      <c r="I174" s="17"/>
      <c r="J174" s="17"/>
      <c r="K174" s="52">
        <f t="shared" si="332"/>
        <v>0</v>
      </c>
      <c r="L174" s="109">
        <f t="shared" si="319"/>
        <v>0</v>
      </c>
      <c r="M174" s="17"/>
      <c r="N174" s="17"/>
      <c r="O174" s="17"/>
      <c r="P174" s="17"/>
      <c r="Q174" s="17"/>
      <c r="R174" s="17"/>
      <c r="S174" s="17"/>
      <c r="T174" s="52">
        <f>S174-R174</f>
        <v>0</v>
      </c>
      <c r="U174" s="109">
        <f>IF(R174=0,0,T174/R174)</f>
        <v>0</v>
      </c>
      <c r="V174" s="17"/>
      <c r="W174" s="17"/>
      <c r="X174" s="17"/>
      <c r="Y174" s="17"/>
      <c r="Z174" s="17"/>
      <c r="AA174" s="17"/>
      <c r="AB174" s="17"/>
      <c r="AC174" s="52">
        <f>AB174-AA174</f>
        <v>0</v>
      </c>
      <c r="AD174" s="109">
        <f>IF(AA174=0,0,AC174/AA174)</f>
        <v>0</v>
      </c>
      <c r="AE174" s="17"/>
      <c r="AF174" s="17"/>
      <c r="AG174" s="17"/>
      <c r="AH174" s="17"/>
      <c r="AI174" s="17"/>
      <c r="AJ174" s="17"/>
      <c r="AK174" s="17"/>
      <c r="AL174" s="52">
        <f>AK174-AJ174</f>
        <v>0</v>
      </c>
      <c r="AM174" s="109">
        <f>IF(AJ174=0,0,AL174/AJ174)</f>
        <v>0</v>
      </c>
      <c r="AN174" s="17"/>
      <c r="AO174" s="17"/>
      <c r="AP174" s="17"/>
      <c r="AQ174" s="17"/>
      <c r="AR174" s="17"/>
      <c r="AS174" s="17"/>
      <c r="AT174" s="17"/>
      <c r="AU174" s="52">
        <f>AT174-AS174</f>
        <v>0</v>
      </c>
      <c r="AV174" s="109">
        <f>IF(AS174=0,0,AU174/AS174)</f>
        <v>0</v>
      </c>
      <c r="AW174" s="17"/>
      <c r="AX174" s="17"/>
      <c r="AY174" s="17"/>
      <c r="AZ174" s="17"/>
      <c r="BA174" s="17"/>
      <c r="BB174" s="17"/>
      <c r="BC174" s="52">
        <f>BB174-BA174</f>
        <v>0</v>
      </c>
      <c r="BD174" s="109">
        <f>IF(BA174=0,0,BC174/BA174)</f>
        <v>0</v>
      </c>
      <c r="BE174" s="17"/>
      <c r="BF174" s="17"/>
      <c r="BG174" s="17"/>
      <c r="BH174" s="17"/>
      <c r="BI174" s="17"/>
      <c r="BJ174" s="17"/>
      <c r="BK174" s="52">
        <f>BJ174-BI174</f>
        <v>0</v>
      </c>
      <c r="BL174" s="109">
        <f>IF(BI174=0,0,BK174/BI174)</f>
        <v>0</v>
      </c>
      <c r="BM174" s="17"/>
      <c r="BN174" s="17"/>
      <c r="BO174" s="17"/>
      <c r="BP174" s="17"/>
      <c r="BQ174" s="17"/>
      <c r="BR174" s="17"/>
      <c r="BS174" s="52">
        <f>BR174-BQ174</f>
        <v>0</v>
      </c>
      <c r="BT174" s="109">
        <f>IF(BQ174=0,0,BS174/BQ174)</f>
        <v>0</v>
      </c>
      <c r="BU174" s="17"/>
      <c r="BV174" s="17"/>
      <c r="BW174" s="17"/>
      <c r="BX174" s="17"/>
      <c r="BY174" s="17"/>
      <c r="BZ174" s="17"/>
      <c r="CA174" s="52">
        <f>BZ174-BY174</f>
        <v>0</v>
      </c>
      <c r="CB174" s="109">
        <f>IF(BY174=0,0,CA174/BY174)</f>
        <v>0</v>
      </c>
      <c r="CC174" s="17"/>
      <c r="CD174" s="17"/>
      <c r="CE174" s="17"/>
      <c r="CF174" s="17"/>
      <c r="CG174" s="17"/>
      <c r="CH174" s="141"/>
      <c r="CI174" s="52">
        <f>CH174-CG174</f>
        <v>0</v>
      </c>
      <c r="CJ174" s="109">
        <f>IF(CG174=0,0,CI174/CG174)</f>
        <v>0</v>
      </c>
      <c r="CK174" s="17"/>
      <c r="CL174" s="17"/>
      <c r="CM174" s="17"/>
      <c r="CN174" s="17"/>
      <c r="CO174" s="17"/>
      <c r="CP174" s="17"/>
      <c r="CQ174" s="52">
        <f>CP174-CO174</f>
        <v>0</v>
      </c>
      <c r="CR174" s="109">
        <f>IF(CO174=0,0,CQ174/CO174)</f>
        <v>0</v>
      </c>
      <c r="CS174" s="17"/>
      <c r="CT174" s="17"/>
      <c r="CU174" s="17"/>
      <c r="CV174" s="17"/>
      <c r="CW174" s="17"/>
      <c r="CX174" s="17"/>
      <c r="CY174" s="52">
        <f>CX174-CW174</f>
        <v>0</v>
      </c>
      <c r="CZ174" s="109">
        <f>IF(CW174=0,0,CY174/CW174)</f>
        <v>0</v>
      </c>
      <c r="DA174" s="52" t="e">
        <f>J174+IF(#REF!&gt;=2,S174,0)+IF(#REF!&gt;=3,AB174,0)+IF(#REF!&gt;=4,AK174,0)+IF(#REF!&gt;=5,AT174,0)+IF(#REF!&gt;=6,BB174,0)+IF(#REF!&gt;=7,BJ174,0)+IF(#REF!&gt;=8,BR174,0)+IF(#REF!&gt;=9,BZ174,0)+IF(#REF!&gt;=10,CH174,0)+IF(#REF!&gt;=11,CP174,0)+IF(#REF!&gt;=12,CX174,0)</f>
        <v>#REF!</v>
      </c>
      <c r="DB174" s="84">
        <f>I174+R174+AA174+AJ174+AS174+BA174+BI174+BQ174+BY174+CG174+CO174+CW174</f>
        <v>0</v>
      </c>
      <c r="DC174" s="106" t="e">
        <f>IF(#REF!&gt;=1,J174,I174)+IF(#REF!&gt;=2,S174,R174)+IF(#REF!&gt;=3,AB174,AA174)+IF(#REF!&gt;=4,AK174,AJ174)+IF(#REF!&gt;=5,AT174,AS174)+IF(#REF!&gt;=6,BB174,BA174)+IF(#REF!&gt;=7,BJ174,BI174)+IF(#REF!&gt;=8,BR174,BQ174)+IF(#REF!&gt;=9,BZ174,BY174)+IF(#REF!&gt;=10,CH174,CG174)+IF(#REF!&gt;=11,CP174,CO174)+IF(#REF!&gt;=12,CX174,CW174)</f>
        <v>#REF!</v>
      </c>
      <c r="DD174" s="52" t="e">
        <f>DC174-DB174</f>
        <v>#REF!</v>
      </c>
      <c r="DE174" s="113">
        <f>IF(DB174=0,0,DD174/DB174)</f>
        <v>0</v>
      </c>
    </row>
    <row r="175" spans="1:109" ht="15.75" hidden="1">
      <c r="A175" s="98" t="s">
        <v>236</v>
      </c>
      <c r="B175" s="45" t="s">
        <v>237</v>
      </c>
      <c r="C175" s="10" t="s">
        <v>174</v>
      </c>
      <c r="D175" s="21"/>
      <c r="E175" s="21"/>
      <c r="F175" s="21"/>
      <c r="G175" s="21"/>
      <c r="H175" s="21"/>
      <c r="I175" s="21"/>
      <c r="J175" s="21"/>
      <c r="K175" s="52">
        <f t="shared" si="332"/>
        <v>0</v>
      </c>
      <c r="L175" s="109">
        <f t="shared" si="319"/>
        <v>0</v>
      </c>
      <c r="M175" s="52"/>
      <c r="N175" s="21"/>
      <c r="O175" s="21"/>
      <c r="P175" s="21"/>
      <c r="Q175" s="21"/>
      <c r="R175" s="21"/>
      <c r="S175" s="21"/>
      <c r="T175" s="52">
        <f>S175-R175</f>
        <v>0</v>
      </c>
      <c r="U175" s="109">
        <f>IF(R175=0,0,T175/R175)</f>
        <v>0</v>
      </c>
      <c r="V175" s="21"/>
      <c r="W175" s="21"/>
      <c r="X175" s="21"/>
      <c r="Y175" s="21"/>
      <c r="Z175" s="21"/>
      <c r="AA175" s="21"/>
      <c r="AB175" s="21"/>
      <c r="AC175" s="52">
        <f>AB175-AA175</f>
        <v>0</v>
      </c>
      <c r="AD175" s="109">
        <f>IF(AA175=0,0,AC175/AA175)</f>
        <v>0</v>
      </c>
      <c r="AE175" s="21"/>
      <c r="AF175" s="21"/>
      <c r="AG175" s="21"/>
      <c r="AH175" s="21"/>
      <c r="AI175" s="21"/>
      <c r="AJ175" s="21"/>
      <c r="AK175" s="21"/>
      <c r="AL175" s="52">
        <f>AK175-AJ175</f>
        <v>0</v>
      </c>
      <c r="AM175" s="109">
        <f>IF(AJ175=0,0,AL175/AJ175)</f>
        <v>0</v>
      </c>
      <c r="AN175" s="21"/>
      <c r="AO175" s="21"/>
      <c r="AP175" s="21"/>
      <c r="AQ175" s="21"/>
      <c r="AR175" s="21"/>
      <c r="AS175" s="21"/>
      <c r="AT175" s="21"/>
      <c r="AU175" s="52">
        <f>AT175-AS175</f>
        <v>0</v>
      </c>
      <c r="AV175" s="109">
        <f>IF(AS175=0,0,AU175/AS175)</f>
        <v>0</v>
      </c>
      <c r="AW175" s="21"/>
      <c r="AX175" s="21"/>
      <c r="AY175" s="21"/>
      <c r="AZ175" s="21"/>
      <c r="BA175" s="21"/>
      <c r="BB175" s="21"/>
      <c r="BC175" s="52">
        <f>BB175-BA175</f>
        <v>0</v>
      </c>
      <c r="BD175" s="109">
        <f>IF(BA175=0,0,BC175/BA175)</f>
        <v>0</v>
      </c>
      <c r="BE175" s="21"/>
      <c r="BF175" s="21"/>
      <c r="BG175" s="21"/>
      <c r="BH175" s="21"/>
      <c r="BI175" s="21"/>
      <c r="BJ175" s="21"/>
      <c r="BK175" s="52">
        <f>BJ175-BI175</f>
        <v>0</v>
      </c>
      <c r="BL175" s="109">
        <f>IF(BI175=0,0,BK175/BI175)</f>
        <v>0</v>
      </c>
      <c r="BM175" s="21"/>
      <c r="BN175" s="21"/>
      <c r="BO175" s="21"/>
      <c r="BP175" s="21"/>
      <c r="BQ175" s="21"/>
      <c r="BR175" s="21"/>
      <c r="BS175" s="52">
        <f>BR175-BQ175</f>
        <v>0</v>
      </c>
      <c r="BT175" s="109">
        <f>IF(BQ175=0,0,BS175/BQ175)</f>
        <v>0</v>
      </c>
      <c r="BU175" s="21"/>
      <c r="BV175" s="21"/>
      <c r="BW175" s="21"/>
      <c r="BX175" s="21"/>
      <c r="BY175" s="21"/>
      <c r="BZ175" s="21"/>
      <c r="CA175" s="52">
        <f>BZ175-BY175</f>
        <v>0</v>
      </c>
      <c r="CB175" s="109">
        <f>IF(BY175=0,0,CA175/BY175)</f>
        <v>0</v>
      </c>
      <c r="CC175" s="21"/>
      <c r="CD175" s="21"/>
      <c r="CE175" s="21"/>
      <c r="CF175" s="21"/>
      <c r="CG175" s="21"/>
      <c r="CH175" s="141"/>
      <c r="CI175" s="52">
        <f>CH175-CG175</f>
        <v>0</v>
      </c>
      <c r="CJ175" s="109">
        <f>IF(CG175=0,0,CI175/CG175)</f>
        <v>0</v>
      </c>
      <c r="CK175" s="21"/>
      <c r="CL175" s="21"/>
      <c r="CM175" s="21"/>
      <c r="CN175" s="21"/>
      <c r="CO175" s="21"/>
      <c r="CP175" s="21"/>
      <c r="CQ175" s="52">
        <f>CP175-CO175</f>
        <v>0</v>
      </c>
      <c r="CR175" s="109">
        <f>IF(CO175=0,0,CQ175/CO175)</f>
        <v>0</v>
      </c>
      <c r="CS175" s="21"/>
      <c r="CT175" s="21"/>
      <c r="CU175" s="21"/>
      <c r="CV175" s="21"/>
      <c r="CW175" s="21"/>
      <c r="CX175" s="21"/>
      <c r="CY175" s="52">
        <f>CX175-CW175</f>
        <v>0</v>
      </c>
      <c r="CZ175" s="109">
        <f>IF(CW175=0,0,CY175/CW175)</f>
        <v>0</v>
      </c>
      <c r="DA175" s="52" t="e">
        <f>J175+IF(#REF!&gt;=2,S175,0)+IF(#REF!&gt;=3,AB175,0)+IF(#REF!&gt;=4,AK175,0)+IF(#REF!&gt;=5,AT175,0)+IF(#REF!&gt;=6,BB175,0)+IF(#REF!&gt;=7,BJ175,0)+IF(#REF!&gt;=8,BR175,0)+IF(#REF!&gt;=9,BZ175,0)+IF(#REF!&gt;=10,CH175,0)+IF(#REF!&gt;=11,CP175,0)+IF(#REF!&gt;=12,CX175,0)</f>
        <v>#REF!</v>
      </c>
      <c r="DB175" s="84">
        <f>I175+R175+AA175+AJ175+AS175+BA175+BI175+BQ175+BY175+CG175+CO175+CW175</f>
        <v>0</v>
      </c>
      <c r="DC175" s="106" t="e">
        <f>IF(#REF!&gt;=1,J175,I175)+IF(#REF!&gt;=2,S175,R175)+IF(#REF!&gt;=3,AB175,AA175)+IF(#REF!&gt;=4,AK175,AJ175)+IF(#REF!&gt;=5,AT175,AS175)+IF(#REF!&gt;=6,BB175,BA175)+IF(#REF!&gt;=7,BJ175,BI175)+IF(#REF!&gt;=8,BR175,BQ175)+IF(#REF!&gt;=9,BZ175,BY175)+IF(#REF!&gt;=10,CH175,CG175)+IF(#REF!&gt;=11,CP175,CO175)+IF(#REF!&gt;=12,CX175,CW175)</f>
        <v>#REF!</v>
      </c>
      <c r="DD175" s="52" t="e">
        <f>DC175-DB175</f>
        <v>#REF!</v>
      </c>
      <c r="DE175" s="113">
        <f>IF(DB175=0,0,DD175/DB175)</f>
        <v>0</v>
      </c>
    </row>
    <row r="176" spans="1:109" ht="15.75" hidden="1">
      <c r="A176" s="98" t="s">
        <v>238</v>
      </c>
      <c r="B176" s="46" t="s">
        <v>239</v>
      </c>
      <c r="C176" s="10" t="s">
        <v>174</v>
      </c>
      <c r="D176" s="14"/>
      <c r="E176" s="14"/>
      <c r="F176" s="14"/>
      <c r="G176" s="14"/>
      <c r="H176" s="14"/>
      <c r="I176" s="14"/>
      <c r="J176" s="14"/>
      <c r="K176" s="52">
        <f t="shared" si="332"/>
        <v>0</v>
      </c>
      <c r="L176" s="109">
        <f t="shared" si="319"/>
        <v>0</v>
      </c>
      <c r="M176" s="21"/>
      <c r="N176" s="14"/>
      <c r="O176" s="14"/>
      <c r="P176" s="14"/>
      <c r="Q176" s="14"/>
      <c r="R176" s="14"/>
      <c r="S176" s="14"/>
      <c r="T176" s="52">
        <f>S176-R176</f>
        <v>0</v>
      </c>
      <c r="U176" s="109">
        <f>IF(R176=0,0,T176/R176)</f>
        <v>0</v>
      </c>
      <c r="V176" s="14"/>
      <c r="W176" s="14"/>
      <c r="X176" s="14"/>
      <c r="Y176" s="14"/>
      <c r="Z176" s="14"/>
      <c r="AA176" s="192"/>
      <c r="AB176" s="14"/>
      <c r="AC176" s="52">
        <f>AB176-AA176</f>
        <v>0</v>
      </c>
      <c r="AD176" s="109">
        <f>IF(AA176=0,0,AC176/AA176)</f>
        <v>0</v>
      </c>
      <c r="AE176" s="14"/>
      <c r="AF176" s="14"/>
      <c r="AG176" s="14"/>
      <c r="AH176" s="14"/>
      <c r="AI176" s="14"/>
      <c r="AJ176" s="14"/>
      <c r="AK176" s="14"/>
      <c r="AL176" s="52">
        <f>AK176-AJ176</f>
        <v>0</v>
      </c>
      <c r="AM176" s="109">
        <f>IF(AJ176=0,0,AL176/AJ176)</f>
        <v>0</v>
      </c>
      <c r="AN176" s="14"/>
      <c r="AO176" s="14"/>
      <c r="AP176" s="14"/>
      <c r="AQ176" s="14"/>
      <c r="AR176" s="14"/>
      <c r="AS176" s="14"/>
      <c r="AT176" s="14"/>
      <c r="AU176" s="52">
        <f>AT176-AS176</f>
        <v>0</v>
      </c>
      <c r="AV176" s="109">
        <f>IF(AS176=0,0,AU176/AS176)</f>
        <v>0</v>
      </c>
      <c r="AW176" s="14"/>
      <c r="AX176" s="14"/>
      <c r="AY176" s="14"/>
      <c r="AZ176" s="14"/>
      <c r="BA176" s="14"/>
      <c r="BB176" s="14"/>
      <c r="BC176" s="52">
        <f>BB176-BA176</f>
        <v>0</v>
      </c>
      <c r="BD176" s="109">
        <f>IF(BA176=0,0,BC176/BA176)</f>
        <v>0</v>
      </c>
      <c r="BE176" s="14"/>
      <c r="BF176" s="14"/>
      <c r="BG176" s="14"/>
      <c r="BH176" s="14"/>
      <c r="BI176" s="14"/>
      <c r="BJ176" s="14"/>
      <c r="BK176" s="52">
        <f>BJ176-BI176</f>
        <v>0</v>
      </c>
      <c r="BL176" s="109">
        <f>IF(BI176=0,0,BK176/BI176)</f>
        <v>0</v>
      </c>
      <c r="BM176" s="14"/>
      <c r="BN176" s="14"/>
      <c r="BO176" s="14"/>
      <c r="BP176" s="14"/>
      <c r="BQ176" s="14"/>
      <c r="BR176" s="14"/>
      <c r="BS176" s="52">
        <f>BR176-BQ176</f>
        <v>0</v>
      </c>
      <c r="BT176" s="109">
        <f>IF(BQ176=0,0,BS176/BQ176)</f>
        <v>0</v>
      </c>
      <c r="BU176" s="14"/>
      <c r="BV176" s="14"/>
      <c r="BW176" s="14"/>
      <c r="BX176" s="14"/>
      <c r="BY176" s="192"/>
      <c r="BZ176" s="14"/>
      <c r="CA176" s="52">
        <f>BZ176-BY176</f>
        <v>0</v>
      </c>
      <c r="CB176" s="109">
        <f>IF(BY176=0,0,CA176/BY176)</f>
        <v>0</v>
      </c>
      <c r="CC176" s="14"/>
      <c r="CD176" s="14"/>
      <c r="CE176" s="14"/>
      <c r="CF176" s="14"/>
      <c r="CG176" s="14"/>
      <c r="CH176" s="172"/>
      <c r="CI176" s="52">
        <f>CH176-CG176</f>
        <v>0</v>
      </c>
      <c r="CJ176" s="109">
        <f>IF(CG176=0,0,CI176/CG176)</f>
        <v>0</v>
      </c>
      <c r="CK176" s="14"/>
      <c r="CL176" s="14"/>
      <c r="CM176" s="14"/>
      <c r="CN176" s="14"/>
      <c r="CO176" s="14"/>
      <c r="CP176" s="14"/>
      <c r="CQ176" s="52">
        <f>CP176-CO176</f>
        <v>0</v>
      </c>
      <c r="CR176" s="109">
        <f>IF(CO176=0,0,CQ176/CO176)</f>
        <v>0</v>
      </c>
      <c r="CS176" s="14"/>
      <c r="CT176" s="14"/>
      <c r="CU176" s="14"/>
      <c r="CV176" s="14"/>
      <c r="CW176" s="14"/>
      <c r="CX176" s="14"/>
      <c r="CY176" s="52">
        <f>CX176-CW176</f>
        <v>0</v>
      </c>
      <c r="CZ176" s="109">
        <f>IF(CW176=0,0,CY176/CW176)</f>
        <v>0</v>
      </c>
      <c r="DA176" s="52" t="e">
        <f>J176+IF(#REF!&gt;=2,S176,0)+IF(#REF!&gt;=3,AB176,0)+IF(#REF!&gt;=4,AK176,0)+IF(#REF!&gt;=5,AT176,0)+IF(#REF!&gt;=6,BB176,0)+IF(#REF!&gt;=7,BJ176,0)+IF(#REF!&gt;=8,BR176,0)+IF(#REF!&gt;=9,BZ176,0)+IF(#REF!&gt;=10,CH176,0)+IF(#REF!&gt;=11,CP176,0)+IF(#REF!&gt;=12,CX176,0)</f>
        <v>#REF!</v>
      </c>
      <c r="DB176" s="84">
        <f>I176+R176+AA176+AJ176+AS176+BA176+BI176+BQ176+BY176+CG176+CO176+CW176</f>
        <v>0</v>
      </c>
      <c r="DC176" s="106" t="e">
        <f>IF(#REF!&gt;=1,J176,I176)+IF(#REF!&gt;=2,S176,R176)+IF(#REF!&gt;=3,AB176,AA176)+IF(#REF!&gt;=4,AK176,AJ176)+IF(#REF!&gt;=5,AT176,AS176)+IF(#REF!&gt;=6,BB176,BA176)+IF(#REF!&gt;=7,BJ176,BI176)+IF(#REF!&gt;=8,BR176,BQ176)+IF(#REF!&gt;=9,BZ176,BY176)+IF(#REF!&gt;=10,CH176,CG176)+IF(#REF!&gt;=11,CP176,CO176)+IF(#REF!&gt;=12,CX176,CW176)</f>
        <v>#REF!</v>
      </c>
      <c r="DD176" s="52" t="e">
        <f>DC176-DB176</f>
        <v>#REF!</v>
      </c>
      <c r="DE176" s="113">
        <f>IF(DB176=0,0,DD176/DB176)</f>
        <v>0</v>
      </c>
    </row>
    <row r="177" spans="1:109" ht="31.5" hidden="1">
      <c r="A177" s="98" t="s">
        <v>240</v>
      </c>
      <c r="B177" s="18" t="s">
        <v>241</v>
      </c>
      <c r="C177" s="10" t="s">
        <v>174</v>
      </c>
      <c r="D177" s="14"/>
      <c r="E177" s="14"/>
      <c r="F177" s="14"/>
      <c r="G177" s="14"/>
      <c r="H177" s="14"/>
      <c r="I177" s="14"/>
      <c r="J177" s="14"/>
      <c r="K177" s="52" t="s">
        <v>250</v>
      </c>
      <c r="L177" s="52" t="s">
        <v>250</v>
      </c>
      <c r="M177" s="117"/>
      <c r="N177" s="14"/>
      <c r="O177" s="14"/>
      <c r="P177" s="14"/>
      <c r="Q177" s="14"/>
      <c r="R177" s="14"/>
      <c r="S177" s="14"/>
      <c r="T177" s="52" t="s">
        <v>250</v>
      </c>
      <c r="U177" s="52" t="s">
        <v>250</v>
      </c>
      <c r="V177" s="14"/>
      <c r="W177" s="14"/>
      <c r="X177" s="14"/>
      <c r="Y177" s="14"/>
      <c r="Z177" s="14"/>
      <c r="AA177" s="192"/>
      <c r="AB177" s="14"/>
      <c r="AC177" s="52" t="s">
        <v>250</v>
      </c>
      <c r="AD177" s="52" t="s">
        <v>250</v>
      </c>
      <c r="AE177" s="14"/>
      <c r="AF177" s="14"/>
      <c r="AG177" s="14"/>
      <c r="AH177" s="14"/>
      <c r="AI177" s="14"/>
      <c r="AJ177" s="14"/>
      <c r="AK177" s="14"/>
      <c r="AL177" s="52" t="s">
        <v>250</v>
      </c>
      <c r="AM177" s="52" t="s">
        <v>250</v>
      </c>
      <c r="AN177" s="14"/>
      <c r="AO177" s="14"/>
      <c r="AP177" s="14"/>
      <c r="AQ177" s="14"/>
      <c r="AR177" s="14"/>
      <c r="AS177" s="14"/>
      <c r="AT177" s="14"/>
      <c r="AU177" s="52" t="s">
        <v>250</v>
      </c>
      <c r="AV177" s="52" t="s">
        <v>250</v>
      </c>
      <c r="AW177" s="14"/>
      <c r="AX177" s="14"/>
      <c r="AY177" s="14"/>
      <c r="AZ177" s="14"/>
      <c r="BA177" s="14"/>
      <c r="BB177" s="14"/>
      <c r="BC177" s="52" t="s">
        <v>250</v>
      </c>
      <c r="BD177" s="52" t="s">
        <v>250</v>
      </c>
      <c r="BE177" s="14"/>
      <c r="BF177" s="14"/>
      <c r="BG177" s="14"/>
      <c r="BH177" s="14"/>
      <c r="BI177" s="14"/>
      <c r="BJ177" s="14"/>
      <c r="BK177" s="52" t="s">
        <v>250</v>
      </c>
      <c r="BL177" s="52" t="s">
        <v>250</v>
      </c>
      <c r="BM177" s="14"/>
      <c r="BN177" s="14"/>
      <c r="BO177" s="14"/>
      <c r="BP177" s="14"/>
      <c r="BQ177" s="14"/>
      <c r="BR177" s="14"/>
      <c r="BS177" s="52" t="s">
        <v>250</v>
      </c>
      <c r="BT177" s="52" t="s">
        <v>250</v>
      </c>
      <c r="BU177" s="14"/>
      <c r="BV177" s="14"/>
      <c r="BW177" s="14"/>
      <c r="BX177" s="14"/>
      <c r="BY177" s="192"/>
      <c r="BZ177" s="14"/>
      <c r="CA177" s="52" t="s">
        <v>250</v>
      </c>
      <c r="CB177" s="52" t="s">
        <v>250</v>
      </c>
      <c r="CC177" s="14"/>
      <c r="CD177" s="14"/>
      <c r="CE177" s="14"/>
      <c r="CF177" s="14"/>
      <c r="CG177" s="14"/>
      <c r="CH177" s="172"/>
      <c r="CI177" s="52" t="s">
        <v>250</v>
      </c>
      <c r="CJ177" s="52" t="s">
        <v>250</v>
      </c>
      <c r="CK177" s="14"/>
      <c r="CL177" s="14"/>
      <c r="CM177" s="14"/>
      <c r="CN177" s="14"/>
      <c r="CO177" s="14"/>
      <c r="CP177" s="14"/>
      <c r="CQ177" s="52" t="s">
        <v>250</v>
      </c>
      <c r="CR177" s="52" t="s">
        <v>250</v>
      </c>
      <c r="CS177" s="14"/>
      <c r="CT177" s="14"/>
      <c r="CU177" s="14"/>
      <c r="CV177" s="14"/>
      <c r="CW177" s="14"/>
      <c r="CX177" s="14"/>
      <c r="CY177" s="52" t="s">
        <v>250</v>
      </c>
      <c r="CZ177" s="52" t="s">
        <v>250</v>
      </c>
      <c r="DA177" s="52" t="e">
        <f>J177+IF(#REF!&gt;=2,S177,0)+IF(#REF!&gt;=3,AB177,0)+IF(#REF!&gt;=4,AK177,0)+IF(#REF!&gt;=5,AT177,0)+IF(#REF!&gt;=6,BB177,0)+IF(#REF!&gt;=7,BJ177,0)+IF(#REF!&gt;=8,BR177,0)+IF(#REF!&gt;=9,BZ177,0)+IF(#REF!&gt;=10,CH177,0)+IF(#REF!&gt;=11,CP177,0)+IF(#REF!&gt;=12,CX177,0)</f>
        <v>#REF!</v>
      </c>
      <c r="DB177" s="84">
        <f>I177+R177+AA177+AJ177+AS177+BA177+BI177+BQ177+BY177+CG177+CO177+CW177</f>
        <v>0</v>
      </c>
      <c r="DC177" s="106" t="e">
        <f>IF(#REF!&gt;=1,J177,I177)+IF(#REF!&gt;=2,S177,R177)+IF(#REF!&gt;=3,AB177,AA177)+IF(#REF!&gt;=4,AK177,AJ177)+IF(#REF!&gt;=5,AT177,AS177)+IF(#REF!&gt;=6,BB177,BA177)+IF(#REF!&gt;=7,BJ177,BI177)+IF(#REF!&gt;=8,BR177,BQ177)+IF(#REF!&gt;=9,BZ177,BY177)+IF(#REF!&gt;=10,CH177,CG177)+IF(#REF!&gt;=11,CP177,CO177)+IF(#REF!&gt;=12,CX177,CW177)</f>
        <v>#REF!</v>
      </c>
      <c r="DD177" s="52" t="s">
        <v>250</v>
      </c>
      <c r="DE177" s="83" t="s">
        <v>250</v>
      </c>
    </row>
    <row r="178" spans="1:109" ht="15.75" hidden="1">
      <c r="A178" s="98" t="s">
        <v>242</v>
      </c>
      <c r="B178" s="45" t="s">
        <v>38</v>
      </c>
      <c r="C178" s="10" t="s">
        <v>174</v>
      </c>
      <c r="D178" s="14"/>
      <c r="E178" s="14"/>
      <c r="F178" s="14"/>
      <c r="G178" s="14"/>
      <c r="H178" s="14"/>
      <c r="I178" s="14"/>
      <c r="J178" s="14"/>
      <c r="K178" s="52">
        <f t="shared" si="332"/>
        <v>0</v>
      </c>
      <c r="L178" s="109">
        <f t="shared" si="319"/>
        <v>0</v>
      </c>
      <c r="M178" s="52"/>
      <c r="N178" s="14"/>
      <c r="O178" s="14"/>
      <c r="P178" s="14"/>
      <c r="Q178" s="14"/>
      <c r="R178" s="14"/>
      <c r="S178" s="14"/>
      <c r="T178" s="52">
        <f aca="true" t="shared" si="345" ref="T178:T184">S178-R178</f>
        <v>0</v>
      </c>
      <c r="U178" s="109">
        <f>IF(R178=0,0,T178/R178)</f>
        <v>0</v>
      </c>
      <c r="V178" s="14"/>
      <c r="W178" s="14"/>
      <c r="X178" s="14"/>
      <c r="Y178" s="14"/>
      <c r="Z178" s="14"/>
      <c r="AA178" s="192"/>
      <c r="AB178" s="14"/>
      <c r="AC178" s="52">
        <f aca="true" t="shared" si="346" ref="AC178:AC184">AB178-AA178</f>
        <v>0</v>
      </c>
      <c r="AD178" s="109">
        <f>IF(AA178=0,0,AC178/AA178)</f>
        <v>0</v>
      </c>
      <c r="AE178" s="14"/>
      <c r="AF178" s="14"/>
      <c r="AG178" s="14"/>
      <c r="AH178" s="14"/>
      <c r="AI178" s="14"/>
      <c r="AJ178" s="14"/>
      <c r="AK178" s="14"/>
      <c r="AL178" s="52">
        <f aca="true" t="shared" si="347" ref="AL178:AL184">AK178-AJ178</f>
        <v>0</v>
      </c>
      <c r="AM178" s="109">
        <f>IF(AJ178=0,0,AL178/AJ178)</f>
        <v>0</v>
      </c>
      <c r="AN178" s="14"/>
      <c r="AO178" s="14"/>
      <c r="AP178" s="14"/>
      <c r="AQ178" s="14"/>
      <c r="AR178" s="14"/>
      <c r="AS178" s="14"/>
      <c r="AT178" s="14"/>
      <c r="AU178" s="52">
        <f aca="true" t="shared" si="348" ref="AU178:AU184">AT178-AS178</f>
        <v>0</v>
      </c>
      <c r="AV178" s="109">
        <f>IF(AS178=0,0,AU178/AS178)</f>
        <v>0</v>
      </c>
      <c r="AW178" s="14"/>
      <c r="AX178" s="14"/>
      <c r="AY178" s="14"/>
      <c r="AZ178" s="14"/>
      <c r="BA178" s="14"/>
      <c r="BB178" s="14"/>
      <c r="BC178" s="52">
        <f aca="true" t="shared" si="349" ref="BC178:BC184">BB178-BA178</f>
        <v>0</v>
      </c>
      <c r="BD178" s="109">
        <f>IF(BA178=0,0,BC178/BA178)</f>
        <v>0</v>
      </c>
      <c r="BE178" s="14"/>
      <c r="BF178" s="14"/>
      <c r="BG178" s="14"/>
      <c r="BH178" s="14"/>
      <c r="BI178" s="14"/>
      <c r="BJ178" s="14"/>
      <c r="BK178" s="52">
        <f aca="true" t="shared" si="350" ref="BK178:BK184">BJ178-BI178</f>
        <v>0</v>
      </c>
      <c r="BL178" s="109">
        <f>IF(BI178=0,0,BK178/BI178)</f>
        <v>0</v>
      </c>
      <c r="BM178" s="14"/>
      <c r="BN178" s="14"/>
      <c r="BO178" s="14"/>
      <c r="BP178" s="14"/>
      <c r="BQ178" s="14"/>
      <c r="BR178" s="14"/>
      <c r="BS178" s="52">
        <f aca="true" t="shared" si="351" ref="BS178:BS184">BR178-BQ178</f>
        <v>0</v>
      </c>
      <c r="BT178" s="109">
        <f>IF(BQ178=0,0,BS178/BQ178)</f>
        <v>0</v>
      </c>
      <c r="BU178" s="14"/>
      <c r="BV178" s="14"/>
      <c r="BW178" s="14"/>
      <c r="BX178" s="14"/>
      <c r="BY178" s="192"/>
      <c r="BZ178" s="14"/>
      <c r="CA178" s="52">
        <f aca="true" t="shared" si="352" ref="CA178:CA184">BZ178-BY178</f>
        <v>0</v>
      </c>
      <c r="CB178" s="109">
        <f>IF(BY178=0,0,CA178/BY178)</f>
        <v>0</v>
      </c>
      <c r="CC178" s="14"/>
      <c r="CD178" s="14"/>
      <c r="CE178" s="14"/>
      <c r="CF178" s="14"/>
      <c r="CG178" s="14"/>
      <c r="CH178" s="172"/>
      <c r="CI178" s="52">
        <f aca="true" t="shared" si="353" ref="CI178:CI184">CH178-CG178</f>
        <v>0</v>
      </c>
      <c r="CJ178" s="109">
        <f>IF(CG178=0,0,CI178/CG178)</f>
        <v>0</v>
      </c>
      <c r="CK178" s="14"/>
      <c r="CL178" s="14"/>
      <c r="CM178" s="14"/>
      <c r="CN178" s="14"/>
      <c r="CO178" s="14"/>
      <c r="CP178" s="14"/>
      <c r="CQ178" s="52">
        <f aca="true" t="shared" si="354" ref="CQ178:CQ184">CP178-CO178</f>
        <v>0</v>
      </c>
      <c r="CR178" s="109">
        <f>IF(CO178=0,0,CQ178/CO178)</f>
        <v>0</v>
      </c>
      <c r="CS178" s="14"/>
      <c r="CT178" s="14"/>
      <c r="CU178" s="14"/>
      <c r="CV178" s="14"/>
      <c r="CW178" s="14"/>
      <c r="CX178" s="14"/>
      <c r="CY178" s="52">
        <f aca="true" t="shared" si="355" ref="CY178:CY184">CX178-CW178</f>
        <v>0</v>
      </c>
      <c r="CZ178" s="109">
        <f>IF(CW178=0,0,CY178/CW178)</f>
        <v>0</v>
      </c>
      <c r="DA178" s="52" t="e">
        <f>J178+IF(#REF!&gt;=2,S178,0)+IF(#REF!&gt;=3,AB178,0)+IF(#REF!&gt;=4,AK178,0)+IF(#REF!&gt;=5,AT178,0)+IF(#REF!&gt;=6,BB178,0)+IF(#REF!&gt;=7,BJ178,0)+IF(#REF!&gt;=8,BR178,0)+IF(#REF!&gt;=9,BZ178,0)+IF(#REF!&gt;=10,CH178,0)+IF(#REF!&gt;=11,CP178,0)+IF(#REF!&gt;=12,CX178,0)</f>
        <v>#REF!</v>
      </c>
      <c r="DB178" s="84">
        <f>I178+R178+AA178+AJ178+AS178+BA178+BI178+BQ178+BY178+CG178+CO178+CW178</f>
        <v>0</v>
      </c>
      <c r="DC178" s="106" t="e">
        <f>IF(#REF!&gt;=1,J178,I178)+IF(#REF!&gt;=2,S178,R178)+IF(#REF!&gt;=3,AB178,AA178)+IF(#REF!&gt;=4,AK178,AJ178)+IF(#REF!&gt;=5,AT178,AS178)+IF(#REF!&gt;=6,BB178,BA178)+IF(#REF!&gt;=7,BJ178,BI178)+IF(#REF!&gt;=8,BR178,BQ178)+IF(#REF!&gt;=9,BZ178,BY178)+IF(#REF!&gt;=10,CH178,CG178)+IF(#REF!&gt;=11,CP178,CO178)+IF(#REF!&gt;=12,CX178,CW178)</f>
        <v>#REF!</v>
      </c>
      <c r="DD178" s="52" t="e">
        <f aca="true" t="shared" si="356" ref="DD178:DD184">DC178-DB178</f>
        <v>#REF!</v>
      </c>
      <c r="DE178" s="113">
        <f>IF(DB178=0,0,DD178/DB178)</f>
        <v>0</v>
      </c>
    </row>
    <row r="179" spans="1:109" ht="15.75" hidden="1">
      <c r="A179" s="98" t="s">
        <v>243</v>
      </c>
      <c r="B179" s="223" t="s">
        <v>251</v>
      </c>
      <c r="C179" s="10" t="s">
        <v>174</v>
      </c>
      <c r="D179" s="52">
        <f>D174-D175-D176-D178</f>
        <v>0</v>
      </c>
      <c r="E179" s="52">
        <f>E174-E175-E176-E178</f>
        <v>0</v>
      </c>
      <c r="F179" s="52"/>
      <c r="G179" s="52"/>
      <c r="H179" s="52"/>
      <c r="I179" s="52">
        <f>I174-I175-I176-I178</f>
        <v>0</v>
      </c>
      <c r="J179" s="52">
        <f>J174-J175-J176-J178</f>
        <v>0</v>
      </c>
      <c r="K179" s="52">
        <f t="shared" si="332"/>
        <v>0</v>
      </c>
      <c r="L179" s="52" t="s">
        <v>250</v>
      </c>
      <c r="M179" s="52">
        <f>M174-M175-M176-M178</f>
        <v>0</v>
      </c>
      <c r="N179" s="52">
        <f>N174-N175-N176-N178</f>
        <v>0</v>
      </c>
      <c r="O179" s="52"/>
      <c r="P179" s="52"/>
      <c r="Q179" s="52"/>
      <c r="R179" s="52">
        <f>R174-R175-R176-R178</f>
        <v>0</v>
      </c>
      <c r="S179" s="52">
        <f>S174-S175-S176-S178</f>
        <v>0</v>
      </c>
      <c r="T179" s="52">
        <f t="shared" si="345"/>
        <v>0</v>
      </c>
      <c r="U179" s="52" t="s">
        <v>250</v>
      </c>
      <c r="V179" s="52">
        <f>V174-V175-V176-V178</f>
        <v>0</v>
      </c>
      <c r="W179" s="52">
        <f>W174-W175-W176-W178</f>
        <v>0</v>
      </c>
      <c r="X179" s="52"/>
      <c r="Y179" s="52"/>
      <c r="Z179" s="52"/>
      <c r="AA179" s="52">
        <f>AA174-AA175-AA176-AA178</f>
        <v>0</v>
      </c>
      <c r="AB179" s="52">
        <f>AB174-AB175-AB176-AB178</f>
        <v>0</v>
      </c>
      <c r="AC179" s="52">
        <f t="shared" si="346"/>
        <v>0</v>
      </c>
      <c r="AD179" s="52" t="s">
        <v>250</v>
      </c>
      <c r="AE179" s="52">
        <f>AE174-AE175-AE176-AE178</f>
        <v>0</v>
      </c>
      <c r="AF179" s="52">
        <f>AF174-AF175-AF176-AF178</f>
        <v>0</v>
      </c>
      <c r="AG179" s="52"/>
      <c r="AH179" s="52"/>
      <c r="AI179" s="52"/>
      <c r="AJ179" s="52">
        <f>AJ174-AJ175-AJ176-AJ178</f>
        <v>0</v>
      </c>
      <c r="AK179" s="52">
        <f>AK174-AK175-AK176-AK178</f>
        <v>0</v>
      </c>
      <c r="AL179" s="52">
        <f t="shared" si="347"/>
        <v>0</v>
      </c>
      <c r="AM179" s="52" t="s">
        <v>250</v>
      </c>
      <c r="AN179" s="52">
        <f>AN174-AN175-AN176-AN178</f>
        <v>0</v>
      </c>
      <c r="AO179" s="52">
        <f>AO174-AO175-AO176-AO178</f>
        <v>0</v>
      </c>
      <c r="AP179" s="52"/>
      <c r="AQ179" s="52"/>
      <c r="AR179" s="52"/>
      <c r="AS179" s="52">
        <f>AS174-AS175-AS176-AS178</f>
        <v>0</v>
      </c>
      <c r="AT179" s="52">
        <f>AT174-AT175-AT176-AT178</f>
        <v>0</v>
      </c>
      <c r="AU179" s="52">
        <f t="shared" si="348"/>
        <v>0</v>
      </c>
      <c r="AV179" s="52" t="s">
        <v>250</v>
      </c>
      <c r="AW179" s="52">
        <f>AW174-AW175-AW176-AW178</f>
        <v>0</v>
      </c>
      <c r="AX179" s="52">
        <f>AX174-AX175-AX176-AX178</f>
        <v>0</v>
      </c>
      <c r="AY179" s="52"/>
      <c r="AZ179" s="52"/>
      <c r="BA179" s="52">
        <f>BA174-BA175-BA176-BA178</f>
        <v>0</v>
      </c>
      <c r="BB179" s="52">
        <f>BB174-BB175-BB176-BB178</f>
        <v>0</v>
      </c>
      <c r="BC179" s="52">
        <f t="shared" si="349"/>
        <v>0</v>
      </c>
      <c r="BD179" s="52" t="s">
        <v>250</v>
      </c>
      <c r="BE179" s="52">
        <f>BE174-BE175-BE176-BE178</f>
        <v>0</v>
      </c>
      <c r="BF179" s="52"/>
      <c r="BG179" s="52">
        <f>BG174-BG175-BG176-BG178</f>
        <v>0</v>
      </c>
      <c r="BH179" s="52"/>
      <c r="BI179" s="52">
        <f>BI174-BI175-BI176-BI178</f>
        <v>0</v>
      </c>
      <c r="BJ179" s="52">
        <f>BJ174-BJ175-BJ176-BJ178</f>
        <v>0</v>
      </c>
      <c r="BK179" s="52">
        <f t="shared" si="350"/>
        <v>0</v>
      </c>
      <c r="BL179" s="52" t="s">
        <v>250</v>
      </c>
      <c r="BM179" s="52">
        <f>BM174-BM175-BM176-BM178</f>
        <v>0</v>
      </c>
      <c r="BN179" s="52">
        <f>BN174-BN175-BN176-BN178</f>
        <v>0</v>
      </c>
      <c r="BO179" s="52"/>
      <c r="BP179" s="52"/>
      <c r="BQ179" s="52">
        <f>BQ174-BQ175-BQ176-BQ178</f>
        <v>0</v>
      </c>
      <c r="BR179" s="52">
        <f>BR174-BR175-BR176-BR178</f>
        <v>0</v>
      </c>
      <c r="BS179" s="52">
        <f t="shared" si="351"/>
        <v>0</v>
      </c>
      <c r="BT179" s="52" t="s">
        <v>250</v>
      </c>
      <c r="BU179" s="52">
        <f>BU174-BU175-BU176-BU178</f>
        <v>0</v>
      </c>
      <c r="BV179" s="52">
        <f>BV174-BV175-BV176-BV178</f>
        <v>0</v>
      </c>
      <c r="BW179" s="52"/>
      <c r="BX179" s="52"/>
      <c r="BY179" s="52">
        <f>BY174-BY175-BY176-BY178</f>
        <v>0</v>
      </c>
      <c r="BZ179" s="52">
        <f>BZ174-BZ175-BZ176-BZ178</f>
        <v>0</v>
      </c>
      <c r="CA179" s="52">
        <f t="shared" si="352"/>
        <v>0</v>
      </c>
      <c r="CB179" s="52" t="s">
        <v>250</v>
      </c>
      <c r="CC179" s="52">
        <f>CC174-CC175-CC176-CC178</f>
        <v>0</v>
      </c>
      <c r="CD179" s="52">
        <f>CD174-CD175-CD176-CD178</f>
        <v>0</v>
      </c>
      <c r="CE179" s="52"/>
      <c r="CF179" s="52"/>
      <c r="CG179" s="52">
        <f>CG174-CG175-CG176-CG178</f>
        <v>0</v>
      </c>
      <c r="CH179" s="152">
        <f>CH174-CH175-CH176-CH178</f>
        <v>0</v>
      </c>
      <c r="CI179" s="52">
        <f t="shared" si="353"/>
        <v>0</v>
      </c>
      <c r="CJ179" s="52" t="s">
        <v>250</v>
      </c>
      <c r="CK179" s="52">
        <f>CK174-CK175-CK176-CK178</f>
        <v>0</v>
      </c>
      <c r="CL179" s="52">
        <f>CL174-CL175-CL176-CL178</f>
        <v>0</v>
      </c>
      <c r="CM179" s="52"/>
      <c r="CN179" s="52"/>
      <c r="CO179" s="52">
        <f>CO174-CO175-CO176-CO178</f>
        <v>0</v>
      </c>
      <c r="CP179" s="52">
        <f>CP174-CP175-CP176-CP178</f>
        <v>0</v>
      </c>
      <c r="CQ179" s="52">
        <f t="shared" si="354"/>
        <v>0</v>
      </c>
      <c r="CR179" s="52" t="s">
        <v>250</v>
      </c>
      <c r="CS179" s="52">
        <f>CS174-CS175-CS176-CS178</f>
        <v>0</v>
      </c>
      <c r="CT179" s="52">
        <f>CT174-CT175-CT176-CT178</f>
        <v>0</v>
      </c>
      <c r="CU179" s="52"/>
      <c r="CV179" s="52"/>
      <c r="CW179" s="52">
        <f>CW174-CW175-CW176-CW178</f>
        <v>0</v>
      </c>
      <c r="CX179" s="52">
        <f>CX174-CX175-CX176-CX178</f>
        <v>0</v>
      </c>
      <c r="CY179" s="52">
        <f t="shared" si="355"/>
        <v>0</v>
      </c>
      <c r="CZ179" s="52" t="s">
        <v>250</v>
      </c>
      <c r="DA179" s="52" t="e">
        <f>DA174-DA175-DA176-DA178</f>
        <v>#REF!</v>
      </c>
      <c r="DB179" s="84">
        <f>DB174-DB175-DB176-DB178</f>
        <v>0</v>
      </c>
      <c r="DC179" s="52" t="e">
        <f>DC174-DC175-DC176-DC178</f>
        <v>#REF!</v>
      </c>
      <c r="DD179" s="52" t="e">
        <f t="shared" si="356"/>
        <v>#REF!</v>
      </c>
      <c r="DE179" s="83" t="s">
        <v>250</v>
      </c>
    </row>
    <row r="180" spans="1:109" ht="15.75" hidden="1">
      <c r="A180" s="98" t="s">
        <v>244</v>
      </c>
      <c r="B180" s="223"/>
      <c r="C180" s="10" t="s">
        <v>1</v>
      </c>
      <c r="D180" s="51">
        <f>IF(D174=0,0,D179/D174)</f>
        <v>0</v>
      </c>
      <c r="E180" s="51">
        <f>IF(E174=0,0,E179/E174)</f>
        <v>0</v>
      </c>
      <c r="F180" s="51"/>
      <c r="G180" s="51"/>
      <c r="H180" s="51"/>
      <c r="I180" s="51">
        <f>IF(I174=0,0,I179/I174)</f>
        <v>0</v>
      </c>
      <c r="J180" s="51">
        <f>IF(J174=0,0,J179/J174)</f>
        <v>0</v>
      </c>
      <c r="K180" s="51">
        <f t="shared" si="332"/>
        <v>0</v>
      </c>
      <c r="L180" s="52" t="s">
        <v>250</v>
      </c>
      <c r="M180" s="51">
        <f>IF(M174=0,0,M179/M174)</f>
        <v>0</v>
      </c>
      <c r="N180" s="51">
        <f>IF(N174=0,0,N179/N174)</f>
        <v>0</v>
      </c>
      <c r="O180" s="51"/>
      <c r="P180" s="51"/>
      <c r="Q180" s="51"/>
      <c r="R180" s="51">
        <f>IF(R174=0,0,R179/R174)</f>
        <v>0</v>
      </c>
      <c r="S180" s="51">
        <f>IF(S174=0,0,S179/S174)</f>
        <v>0</v>
      </c>
      <c r="T180" s="51">
        <f t="shared" si="345"/>
        <v>0</v>
      </c>
      <c r="U180" s="52" t="s">
        <v>250</v>
      </c>
      <c r="V180" s="51">
        <f>IF(V174=0,0,V179/V174)</f>
        <v>0</v>
      </c>
      <c r="W180" s="51">
        <f>IF(W174=0,0,W179/W174)</f>
        <v>0</v>
      </c>
      <c r="X180" s="51"/>
      <c r="Y180" s="51"/>
      <c r="Z180" s="51"/>
      <c r="AA180" s="51">
        <f>IF(AA174=0,0,AA179/AA174)</f>
        <v>0</v>
      </c>
      <c r="AB180" s="51">
        <f>IF(AB174=0,0,AB179/AB174)</f>
        <v>0</v>
      </c>
      <c r="AC180" s="51">
        <f t="shared" si="346"/>
        <v>0</v>
      </c>
      <c r="AD180" s="52" t="s">
        <v>250</v>
      </c>
      <c r="AE180" s="51">
        <f>IF(AE174=0,0,AE179/AE174)</f>
        <v>0</v>
      </c>
      <c r="AF180" s="51">
        <f>IF(AF174=0,0,AF179/AF174)</f>
        <v>0</v>
      </c>
      <c r="AG180" s="51"/>
      <c r="AH180" s="51"/>
      <c r="AI180" s="51"/>
      <c r="AJ180" s="51">
        <f>IF(AJ174=0,0,AJ179/AJ174)</f>
        <v>0</v>
      </c>
      <c r="AK180" s="51">
        <f>IF(AK174=0,0,AK179/AK174)</f>
        <v>0</v>
      </c>
      <c r="AL180" s="51">
        <f t="shared" si="347"/>
        <v>0</v>
      </c>
      <c r="AM180" s="52" t="s">
        <v>250</v>
      </c>
      <c r="AN180" s="51">
        <f>IF(AN174=0,0,AN179/AN174)</f>
        <v>0</v>
      </c>
      <c r="AO180" s="51">
        <f>IF(AO174=0,0,AO179/AO174)</f>
        <v>0</v>
      </c>
      <c r="AP180" s="51"/>
      <c r="AQ180" s="51"/>
      <c r="AR180" s="51"/>
      <c r="AS180" s="51">
        <f>IF(AS174=0,0,AS179/AS174)</f>
        <v>0</v>
      </c>
      <c r="AT180" s="51">
        <f>IF(AT174=0,0,AT179/AT174)</f>
        <v>0</v>
      </c>
      <c r="AU180" s="51">
        <f t="shared" si="348"/>
        <v>0</v>
      </c>
      <c r="AV180" s="52" t="s">
        <v>250</v>
      </c>
      <c r="AW180" s="51">
        <f>IF(AW174=0,0,AW179/AW174)</f>
        <v>0</v>
      </c>
      <c r="AX180" s="51">
        <f>IF(AX174=0,0,AX179/AX174)</f>
        <v>0</v>
      </c>
      <c r="AY180" s="51"/>
      <c r="AZ180" s="51"/>
      <c r="BA180" s="51">
        <f>IF(BA174=0,0,BA179/BA174)</f>
        <v>0</v>
      </c>
      <c r="BB180" s="51">
        <f>IF(BB174=0,0,BB179/BB174)</f>
        <v>0</v>
      </c>
      <c r="BC180" s="51">
        <f t="shared" si="349"/>
        <v>0</v>
      </c>
      <c r="BD180" s="52" t="s">
        <v>250</v>
      </c>
      <c r="BE180" s="51">
        <f>IF(BE174=0,0,BE179/BE174)</f>
        <v>0</v>
      </c>
      <c r="BF180" s="51"/>
      <c r="BG180" s="51">
        <f>IF(BG174=0,0,BG179/BG174)</f>
        <v>0</v>
      </c>
      <c r="BH180" s="51"/>
      <c r="BI180" s="51">
        <f>IF(BI174=0,0,BI179/BI174)</f>
        <v>0</v>
      </c>
      <c r="BJ180" s="51">
        <f>IF(BJ174=0,0,BJ179/BJ174)</f>
        <v>0</v>
      </c>
      <c r="BK180" s="51">
        <f t="shared" si="350"/>
        <v>0</v>
      </c>
      <c r="BL180" s="52" t="s">
        <v>250</v>
      </c>
      <c r="BM180" s="51">
        <f>IF(BM174=0,0,BM179/BM174)</f>
        <v>0</v>
      </c>
      <c r="BN180" s="51">
        <f>IF(BN174=0,0,BN179/BN174)</f>
        <v>0</v>
      </c>
      <c r="BO180" s="51"/>
      <c r="BP180" s="51"/>
      <c r="BQ180" s="51">
        <f>IF(BQ174=0,0,BQ179/BQ174)</f>
        <v>0</v>
      </c>
      <c r="BR180" s="51">
        <f>IF(BR174=0,0,BR179/BR174)</f>
        <v>0</v>
      </c>
      <c r="BS180" s="51">
        <f t="shared" si="351"/>
        <v>0</v>
      </c>
      <c r="BT180" s="52" t="s">
        <v>250</v>
      </c>
      <c r="BU180" s="51">
        <f>IF(BU174=0,0,BU179/BU174)</f>
        <v>0</v>
      </c>
      <c r="BV180" s="51">
        <f>IF(BV174=0,0,BV179/BV174)</f>
        <v>0</v>
      </c>
      <c r="BW180" s="51"/>
      <c r="BX180" s="51"/>
      <c r="BY180" s="51">
        <f>IF(BY174=0,0,BY179/BY174)</f>
        <v>0</v>
      </c>
      <c r="BZ180" s="51">
        <f>IF(BZ174=0,0,BZ179/BZ174)</f>
        <v>0</v>
      </c>
      <c r="CA180" s="51">
        <f t="shared" si="352"/>
        <v>0</v>
      </c>
      <c r="CB180" s="52" t="s">
        <v>250</v>
      </c>
      <c r="CC180" s="51">
        <f>IF(CC174=0,0,CC179/CC174)</f>
        <v>0</v>
      </c>
      <c r="CD180" s="51">
        <f>IF(CD174=0,0,CD179/CD174)</f>
        <v>0</v>
      </c>
      <c r="CE180" s="51"/>
      <c r="CF180" s="51"/>
      <c r="CG180" s="51">
        <f>IF(CG174=0,0,CG179/CG174)</f>
        <v>0</v>
      </c>
      <c r="CH180" s="152">
        <f>IF(CH174=0,0,CH179/CH174)</f>
        <v>0</v>
      </c>
      <c r="CI180" s="51">
        <f t="shared" si="353"/>
        <v>0</v>
      </c>
      <c r="CJ180" s="52" t="s">
        <v>250</v>
      </c>
      <c r="CK180" s="51">
        <f>IF(CK174=0,0,CK179/CK174)</f>
        <v>0</v>
      </c>
      <c r="CL180" s="51">
        <f>IF(CL174=0,0,CL179/CL174)</f>
        <v>0</v>
      </c>
      <c r="CM180" s="51"/>
      <c r="CN180" s="51"/>
      <c r="CO180" s="51">
        <f>IF(CO174=0,0,CO179/CO174)</f>
        <v>0</v>
      </c>
      <c r="CP180" s="51">
        <f>IF(CP174=0,0,CP179/CP174)</f>
        <v>0</v>
      </c>
      <c r="CQ180" s="51">
        <f t="shared" si="354"/>
        <v>0</v>
      </c>
      <c r="CR180" s="52" t="s">
        <v>250</v>
      </c>
      <c r="CS180" s="51">
        <f>IF(CS174=0,0,CS179/CS174)</f>
        <v>0</v>
      </c>
      <c r="CT180" s="51">
        <f>IF(CT174=0,0,CT179/CT174)</f>
        <v>0</v>
      </c>
      <c r="CU180" s="51"/>
      <c r="CV180" s="51"/>
      <c r="CW180" s="51">
        <f>IF(CW174=0,0,CW179/CW174)</f>
        <v>0</v>
      </c>
      <c r="CX180" s="51">
        <f>IF(CX174=0,0,CX179/CX174)</f>
        <v>0</v>
      </c>
      <c r="CY180" s="51">
        <f t="shared" si="355"/>
        <v>0</v>
      </c>
      <c r="CZ180" s="52" t="s">
        <v>250</v>
      </c>
      <c r="DA180" s="51" t="e">
        <f>IF(DA174=0,0,DA179/DA174)</f>
        <v>#REF!</v>
      </c>
      <c r="DB180" s="85">
        <f>IF(DB174=0,0,DB179/DB174)</f>
        <v>0</v>
      </c>
      <c r="DC180" s="51" t="e">
        <f>IF(DC174=0,0,DC179/DC174)</f>
        <v>#REF!</v>
      </c>
      <c r="DD180" s="51" t="e">
        <f t="shared" si="356"/>
        <v>#REF!</v>
      </c>
      <c r="DE180" s="83" t="s">
        <v>250</v>
      </c>
    </row>
    <row r="181" spans="1:109" ht="15.75" hidden="1">
      <c r="A181" s="98" t="s">
        <v>254</v>
      </c>
      <c r="B181" s="222" t="s">
        <v>108</v>
      </c>
      <c r="C181" s="10" t="s">
        <v>174</v>
      </c>
      <c r="D181" s="17"/>
      <c r="E181" s="17"/>
      <c r="F181" s="17"/>
      <c r="G181" s="17"/>
      <c r="H181" s="17"/>
      <c r="I181" s="17"/>
      <c r="J181" s="17"/>
      <c r="K181" s="52">
        <f>J181-I181</f>
        <v>0</v>
      </c>
      <c r="L181" s="52" t="s">
        <v>250</v>
      </c>
      <c r="M181" s="52"/>
      <c r="N181" s="17"/>
      <c r="O181" s="17"/>
      <c r="P181" s="17"/>
      <c r="Q181" s="17"/>
      <c r="R181" s="17"/>
      <c r="S181" s="17"/>
      <c r="T181" s="52">
        <f t="shared" si="345"/>
        <v>0</v>
      </c>
      <c r="U181" s="52" t="s">
        <v>250</v>
      </c>
      <c r="V181" s="17"/>
      <c r="W181" s="17"/>
      <c r="X181" s="17"/>
      <c r="Y181" s="17"/>
      <c r="Z181" s="17"/>
      <c r="AA181" s="17"/>
      <c r="AB181" s="17"/>
      <c r="AC181" s="52">
        <f t="shared" si="346"/>
        <v>0</v>
      </c>
      <c r="AD181" s="52" t="s">
        <v>250</v>
      </c>
      <c r="AE181" s="17"/>
      <c r="AF181" s="17"/>
      <c r="AG181" s="17"/>
      <c r="AH181" s="17"/>
      <c r="AI181" s="17"/>
      <c r="AJ181" s="17"/>
      <c r="AK181" s="17"/>
      <c r="AL181" s="52">
        <f t="shared" si="347"/>
        <v>0</v>
      </c>
      <c r="AM181" s="52" t="s">
        <v>250</v>
      </c>
      <c r="AN181" s="17"/>
      <c r="AO181" s="17"/>
      <c r="AP181" s="17"/>
      <c r="AQ181" s="17"/>
      <c r="AR181" s="17"/>
      <c r="AS181" s="17"/>
      <c r="AT181" s="17"/>
      <c r="AU181" s="52">
        <f t="shared" si="348"/>
        <v>0</v>
      </c>
      <c r="AV181" s="52" t="s">
        <v>250</v>
      </c>
      <c r="AW181" s="17"/>
      <c r="AX181" s="17"/>
      <c r="AY181" s="17"/>
      <c r="AZ181" s="17"/>
      <c r="BA181" s="17"/>
      <c r="BB181" s="17"/>
      <c r="BC181" s="52">
        <f t="shared" si="349"/>
        <v>0</v>
      </c>
      <c r="BD181" s="52" t="s">
        <v>250</v>
      </c>
      <c r="BE181" s="17"/>
      <c r="BF181" s="17"/>
      <c r="BG181" s="17"/>
      <c r="BH181" s="17"/>
      <c r="BI181" s="17"/>
      <c r="BJ181" s="17"/>
      <c r="BK181" s="52">
        <f t="shared" si="350"/>
        <v>0</v>
      </c>
      <c r="BL181" s="52" t="s">
        <v>250</v>
      </c>
      <c r="BM181" s="17"/>
      <c r="BN181" s="17"/>
      <c r="BO181" s="17"/>
      <c r="BP181" s="17"/>
      <c r="BQ181" s="17"/>
      <c r="BR181" s="17"/>
      <c r="BS181" s="52">
        <f t="shared" si="351"/>
        <v>0</v>
      </c>
      <c r="BT181" s="52" t="s">
        <v>250</v>
      </c>
      <c r="BU181" s="17"/>
      <c r="BV181" s="17"/>
      <c r="BW181" s="17"/>
      <c r="BX181" s="17"/>
      <c r="BY181" s="17"/>
      <c r="BZ181" s="17"/>
      <c r="CA181" s="52">
        <f t="shared" si="352"/>
        <v>0</v>
      </c>
      <c r="CB181" s="52" t="s">
        <v>250</v>
      </c>
      <c r="CC181" s="17"/>
      <c r="CD181" s="17"/>
      <c r="CE181" s="17"/>
      <c r="CF181" s="17"/>
      <c r="CG181" s="17"/>
      <c r="CH181" s="141"/>
      <c r="CI181" s="52">
        <f t="shared" si="353"/>
        <v>0</v>
      </c>
      <c r="CJ181" s="52" t="s">
        <v>250</v>
      </c>
      <c r="CK181" s="17"/>
      <c r="CL181" s="17"/>
      <c r="CM181" s="17"/>
      <c r="CN181" s="17"/>
      <c r="CO181" s="17"/>
      <c r="CP181" s="17"/>
      <c r="CQ181" s="52">
        <f t="shared" si="354"/>
        <v>0</v>
      </c>
      <c r="CR181" s="52" t="s">
        <v>250</v>
      </c>
      <c r="CS181" s="17"/>
      <c r="CT181" s="17"/>
      <c r="CU181" s="17"/>
      <c r="CV181" s="17"/>
      <c r="CW181" s="17"/>
      <c r="CX181" s="17"/>
      <c r="CY181" s="52">
        <f t="shared" si="355"/>
        <v>0</v>
      </c>
      <c r="CZ181" s="52" t="s">
        <v>250</v>
      </c>
      <c r="DA181" s="50" t="e">
        <f>J181+IF(#REF!&gt;=2,S181,0)+IF(#REF!&gt;=3,AB181,0)+IF(#REF!&gt;=4,AK181,0)+IF(#REF!&gt;=5,AT181,0)+IF(#REF!&gt;=6,BB181,0)+IF(#REF!&gt;=7,BJ181,0)+IF(#REF!&gt;=8,BR181,0)+IF(#REF!&gt;=9,BZ181,0)+IF(#REF!&gt;=10,CH181,0)+IF(#REF!&gt;=11,CP181,0)+IF(#REF!&gt;=12,CX181,0)</f>
        <v>#REF!</v>
      </c>
      <c r="DB181" s="84">
        <f>I181+R181+AA181+AJ181+AS181+BA181+BI181+BQ181+BY181+CG181+CO181+CW181</f>
        <v>0</v>
      </c>
      <c r="DC181" s="106" t="e">
        <f>IF(#REF!&gt;=1,J181,I181)+IF(#REF!&gt;=2,S181,R181)+IF(#REF!&gt;=3,AB181,AA181)+IF(#REF!&gt;=4,AK181,AJ181)+IF(#REF!&gt;=5,AT181,AS181)+IF(#REF!&gt;=6,BB181,BA181)+IF(#REF!&gt;=7,BJ181,BI181)+IF(#REF!&gt;=8,BR181,BQ181)+IF(#REF!&gt;=9,BZ181,BY181)+IF(#REF!&gt;=10,CH181,CG181)+IF(#REF!&gt;=11,CP181,CO181)+IF(#REF!&gt;=12,CX181,CW181)</f>
        <v>#REF!</v>
      </c>
      <c r="DD181" s="52" t="e">
        <f t="shared" si="356"/>
        <v>#REF!</v>
      </c>
      <c r="DE181" s="83" t="s">
        <v>250</v>
      </c>
    </row>
    <row r="182" spans="1:109" ht="15.75" hidden="1">
      <c r="A182" s="98" t="s">
        <v>255</v>
      </c>
      <c r="B182" s="222"/>
      <c r="C182" s="10" t="s">
        <v>1</v>
      </c>
      <c r="D182" s="54">
        <f>IF(D167=0,0,D181/D167)</f>
        <v>0</v>
      </c>
      <c r="E182" s="54">
        <f>IF(E167=0,0,E181/E167)</f>
        <v>0</v>
      </c>
      <c r="F182" s="54"/>
      <c r="G182" s="54"/>
      <c r="H182" s="54"/>
      <c r="I182" s="54">
        <f>IF(I167=0,0,I181/I167)</f>
        <v>0</v>
      </c>
      <c r="J182" s="54">
        <f>IF(J167=0,0,J181/J167)</f>
        <v>0</v>
      </c>
      <c r="K182" s="51">
        <f>J182-I182</f>
        <v>0</v>
      </c>
      <c r="L182" s="52" t="s">
        <v>250</v>
      </c>
      <c r="M182" s="17">
        <f>IF(M167=0,0,M181/M167)</f>
        <v>0</v>
      </c>
      <c r="N182" s="54">
        <f>IF(N167=0,0,N181/N167)</f>
        <v>0</v>
      </c>
      <c r="O182" s="54"/>
      <c r="P182" s="54"/>
      <c r="Q182" s="54"/>
      <c r="R182" s="54">
        <f>IF(R167=0,0,R181/R167)</f>
        <v>0</v>
      </c>
      <c r="S182" s="54">
        <f>IF(S167=0,0,S181/S167)</f>
        <v>0</v>
      </c>
      <c r="T182" s="51">
        <f t="shared" si="345"/>
        <v>0</v>
      </c>
      <c r="U182" s="52" t="s">
        <v>250</v>
      </c>
      <c r="V182" s="54">
        <f>IF(V167=0,0,V181/V167)</f>
        <v>0</v>
      </c>
      <c r="W182" s="54">
        <f>IF(W167=0,0,W181/W167)</f>
        <v>0</v>
      </c>
      <c r="X182" s="54"/>
      <c r="Y182" s="54"/>
      <c r="Z182" s="54"/>
      <c r="AA182" s="54">
        <f>IF(AA167=0,0,AA181/AA167)</f>
        <v>0</v>
      </c>
      <c r="AB182" s="54">
        <f>IF(AB167=0,0,AB181/AB167)</f>
        <v>0</v>
      </c>
      <c r="AC182" s="51">
        <f t="shared" si="346"/>
        <v>0</v>
      </c>
      <c r="AD182" s="52" t="s">
        <v>250</v>
      </c>
      <c r="AE182" s="54">
        <f>IF(AE167=0,0,AE181/AE167)</f>
        <v>0</v>
      </c>
      <c r="AF182" s="54">
        <f>IF(AF167=0,0,AF181/AF167)</f>
        <v>0</v>
      </c>
      <c r="AG182" s="54"/>
      <c r="AH182" s="54"/>
      <c r="AI182" s="54"/>
      <c r="AJ182" s="54">
        <f>IF(AJ167=0,0,AJ181/AJ167)</f>
        <v>0</v>
      </c>
      <c r="AK182" s="54">
        <f>IF(AK167=0,0,AK181/AK167)</f>
        <v>0</v>
      </c>
      <c r="AL182" s="51">
        <f t="shared" si="347"/>
        <v>0</v>
      </c>
      <c r="AM182" s="52" t="s">
        <v>250</v>
      </c>
      <c r="AN182" s="54">
        <f>IF(AN167=0,0,AN181/AN167)</f>
        <v>0</v>
      </c>
      <c r="AO182" s="54">
        <f>IF(AO167=0,0,AO181/AO167)</f>
        <v>0</v>
      </c>
      <c r="AP182" s="54"/>
      <c r="AQ182" s="54"/>
      <c r="AR182" s="54"/>
      <c r="AS182" s="54">
        <f>IF(AS167=0,0,AS181/AS167)</f>
        <v>0</v>
      </c>
      <c r="AT182" s="54">
        <f>IF(AT167=0,0,AT181/AT167)</f>
        <v>0</v>
      </c>
      <c r="AU182" s="51">
        <f t="shared" si="348"/>
        <v>0</v>
      </c>
      <c r="AV182" s="52" t="s">
        <v>250</v>
      </c>
      <c r="AW182" s="54">
        <f>IF(AW167=0,0,AW181/AW167)</f>
        <v>0</v>
      </c>
      <c r="AX182" s="54">
        <f>IF(AX167=0,0,AX181/AX167)</f>
        <v>0</v>
      </c>
      <c r="AY182" s="54"/>
      <c r="AZ182" s="54"/>
      <c r="BA182" s="54">
        <f>IF(BA167=0,0,BA181/BA167)</f>
        <v>0</v>
      </c>
      <c r="BB182" s="54">
        <f>IF(BB167=0,0,BB181/BB167)</f>
        <v>0</v>
      </c>
      <c r="BC182" s="51">
        <f t="shared" si="349"/>
        <v>0</v>
      </c>
      <c r="BD182" s="52" t="s">
        <v>250</v>
      </c>
      <c r="BE182" s="54">
        <f>IF(BE167=0,0,BE181/BE167)</f>
        <v>0</v>
      </c>
      <c r="BF182" s="54"/>
      <c r="BG182" s="54">
        <f>IF(BG167=0,0,BG181/BG167)</f>
        <v>0</v>
      </c>
      <c r="BH182" s="54"/>
      <c r="BI182" s="54">
        <f>IF(BI167=0,0,BI181/BI167)</f>
        <v>0</v>
      </c>
      <c r="BJ182" s="54">
        <f>IF(BJ167=0,0,BJ181/BJ167)</f>
        <v>0</v>
      </c>
      <c r="BK182" s="51">
        <f t="shared" si="350"/>
        <v>0</v>
      </c>
      <c r="BL182" s="52" t="s">
        <v>250</v>
      </c>
      <c r="BM182" s="54">
        <f>IF(BM167=0,0,BM181/BM167)</f>
        <v>0</v>
      </c>
      <c r="BN182" s="54">
        <f>IF(BN167=0,0,BN181/BN167)</f>
        <v>0</v>
      </c>
      <c r="BO182" s="54"/>
      <c r="BP182" s="54"/>
      <c r="BQ182" s="54">
        <f>IF(BQ167=0,0,BQ181/BQ167)</f>
        <v>0</v>
      </c>
      <c r="BR182" s="54">
        <f>IF(BR167=0,0,BR181/BR167)</f>
        <v>0</v>
      </c>
      <c r="BS182" s="51">
        <f t="shared" si="351"/>
        <v>0</v>
      </c>
      <c r="BT182" s="52" t="s">
        <v>250</v>
      </c>
      <c r="BU182" s="54">
        <f>IF(BU167=0,0,BU181/BU167)</f>
        <v>0</v>
      </c>
      <c r="BV182" s="54">
        <f>IF(BV167=0,0,BV181/BV167)</f>
        <v>0</v>
      </c>
      <c r="BW182" s="54"/>
      <c r="BX182" s="54"/>
      <c r="BY182" s="54">
        <f>IF(BY167=0,0,BY181/BY167)</f>
        <v>0</v>
      </c>
      <c r="BZ182" s="54">
        <f>IF(BZ167=0,0,BZ181/BZ167)</f>
        <v>0</v>
      </c>
      <c r="CA182" s="51">
        <f t="shared" si="352"/>
        <v>0</v>
      </c>
      <c r="CB182" s="52" t="s">
        <v>250</v>
      </c>
      <c r="CC182" s="54">
        <f>IF(CC167=0,0,CC181/CC167)</f>
        <v>0</v>
      </c>
      <c r="CD182" s="54">
        <f>IF(CD167=0,0,CD181/CD167)</f>
        <v>0</v>
      </c>
      <c r="CE182" s="54"/>
      <c r="CF182" s="54"/>
      <c r="CG182" s="54">
        <f>IF(CG167=0,0,CG181/CG167)</f>
        <v>0</v>
      </c>
      <c r="CH182" s="180">
        <f>IF(CH167=0,0,CH181/CH167)</f>
        <v>0</v>
      </c>
      <c r="CI182" s="51">
        <f t="shared" si="353"/>
        <v>0</v>
      </c>
      <c r="CJ182" s="52" t="s">
        <v>250</v>
      </c>
      <c r="CK182" s="54">
        <f>IF(CK167=0,0,CK181/CK167)</f>
        <v>0</v>
      </c>
      <c r="CL182" s="54">
        <f>IF(CL167=0,0,CL181/CL167)</f>
        <v>0</v>
      </c>
      <c r="CM182" s="54"/>
      <c r="CN182" s="54"/>
      <c r="CO182" s="54">
        <f>IF(CO167=0,0,CO181/CO167)</f>
        <v>0</v>
      </c>
      <c r="CP182" s="54">
        <f>IF(CP167=0,0,CP181/CP167)</f>
        <v>0</v>
      </c>
      <c r="CQ182" s="51">
        <f t="shared" si="354"/>
        <v>0</v>
      </c>
      <c r="CR182" s="52" t="s">
        <v>250</v>
      </c>
      <c r="CS182" s="54">
        <f>IF(CS167=0,0,CS181/CS167)</f>
        <v>0</v>
      </c>
      <c r="CT182" s="54">
        <f>IF(CT167=0,0,CT181/CT167)</f>
        <v>0</v>
      </c>
      <c r="CU182" s="54"/>
      <c r="CV182" s="54"/>
      <c r="CW182" s="54">
        <f>IF(CW167=0,0,CW181/CW167)</f>
        <v>0</v>
      </c>
      <c r="CX182" s="54">
        <f>IF(CX167=0,0,CX181/CX167)</f>
        <v>0</v>
      </c>
      <c r="CY182" s="51">
        <f t="shared" si="355"/>
        <v>0</v>
      </c>
      <c r="CZ182" s="52" t="s">
        <v>250</v>
      </c>
      <c r="DA182" s="54" t="e">
        <f>IF(DA167=0,0,DA181/DA167)</f>
        <v>#REF!</v>
      </c>
      <c r="DB182" s="87">
        <f>IF(DB167=0,0,DB181/DB167)</f>
        <v>0</v>
      </c>
      <c r="DC182" s="54" t="e">
        <f>IF(DC167=0,0,DC181/DC167)</f>
        <v>#REF!</v>
      </c>
      <c r="DD182" s="51" t="e">
        <f t="shared" si="356"/>
        <v>#REF!</v>
      </c>
      <c r="DE182" s="83" t="s">
        <v>250</v>
      </c>
    </row>
    <row r="183" spans="1:109" ht="15.75" hidden="1">
      <c r="A183" s="98" t="s">
        <v>245</v>
      </c>
      <c r="B183" s="45" t="s">
        <v>246</v>
      </c>
      <c r="C183" s="10" t="s">
        <v>174</v>
      </c>
      <c r="D183" s="14"/>
      <c r="E183" s="14"/>
      <c r="F183" s="14"/>
      <c r="G183" s="14"/>
      <c r="H183" s="14"/>
      <c r="I183" s="14"/>
      <c r="J183" s="14"/>
      <c r="K183" s="52">
        <f t="shared" si="332"/>
        <v>0</v>
      </c>
      <c r="L183" s="109">
        <f t="shared" si="319"/>
        <v>0</v>
      </c>
      <c r="M183" s="17"/>
      <c r="N183" s="14"/>
      <c r="O183" s="14"/>
      <c r="P183" s="14"/>
      <c r="Q183" s="14"/>
      <c r="R183" s="14"/>
      <c r="S183" s="14"/>
      <c r="T183" s="52">
        <f t="shared" si="345"/>
        <v>0</v>
      </c>
      <c r="U183" s="109">
        <f>IF(R183=0,0,T183/R183)</f>
        <v>0</v>
      </c>
      <c r="V183" s="14"/>
      <c r="W183" s="14"/>
      <c r="X183" s="14"/>
      <c r="Y183" s="14"/>
      <c r="Z183" s="14"/>
      <c r="AA183" s="192"/>
      <c r="AB183" s="14"/>
      <c r="AC183" s="52">
        <f t="shared" si="346"/>
        <v>0</v>
      </c>
      <c r="AD183" s="109">
        <f>IF(AA183=0,0,AC183/AA183)</f>
        <v>0</v>
      </c>
      <c r="AE183" s="14"/>
      <c r="AF183" s="14"/>
      <c r="AG183" s="14"/>
      <c r="AH183" s="14"/>
      <c r="AI183" s="14"/>
      <c r="AJ183" s="14"/>
      <c r="AK183" s="14"/>
      <c r="AL183" s="52">
        <f t="shared" si="347"/>
        <v>0</v>
      </c>
      <c r="AM183" s="109">
        <f>IF(AJ183=0,0,AL183/AJ183)</f>
        <v>0</v>
      </c>
      <c r="AN183" s="14"/>
      <c r="AO183" s="14"/>
      <c r="AP183" s="14"/>
      <c r="AQ183" s="14"/>
      <c r="AR183" s="14"/>
      <c r="AS183" s="14"/>
      <c r="AT183" s="14"/>
      <c r="AU183" s="52">
        <f t="shared" si="348"/>
        <v>0</v>
      </c>
      <c r="AV183" s="109">
        <f>IF(AS183=0,0,AU183/AS183)</f>
        <v>0</v>
      </c>
      <c r="AW183" s="14"/>
      <c r="AX183" s="14"/>
      <c r="AY183" s="14"/>
      <c r="AZ183" s="14"/>
      <c r="BA183" s="14"/>
      <c r="BB183" s="14"/>
      <c r="BC183" s="52">
        <f t="shared" si="349"/>
        <v>0</v>
      </c>
      <c r="BD183" s="109">
        <f>IF(BA183=0,0,BC183/BA183)</f>
        <v>0</v>
      </c>
      <c r="BE183" s="14"/>
      <c r="BF183" s="14"/>
      <c r="BG183" s="14"/>
      <c r="BH183" s="14"/>
      <c r="BI183" s="14"/>
      <c r="BJ183" s="14"/>
      <c r="BK183" s="52">
        <f t="shared" si="350"/>
        <v>0</v>
      </c>
      <c r="BL183" s="109">
        <f>IF(BI183=0,0,BK183/BI183)</f>
        <v>0</v>
      </c>
      <c r="BM183" s="14"/>
      <c r="BN183" s="14"/>
      <c r="BO183" s="14"/>
      <c r="BP183" s="14"/>
      <c r="BQ183" s="14"/>
      <c r="BR183" s="14"/>
      <c r="BS183" s="52">
        <f t="shared" si="351"/>
        <v>0</v>
      </c>
      <c r="BT183" s="109">
        <f>IF(BQ183=0,0,BS183/BQ183)</f>
        <v>0</v>
      </c>
      <c r="BU183" s="14"/>
      <c r="BV183" s="14"/>
      <c r="BW183" s="14"/>
      <c r="BX183" s="14"/>
      <c r="BY183" s="192"/>
      <c r="BZ183" s="14"/>
      <c r="CA183" s="52">
        <f t="shared" si="352"/>
        <v>0</v>
      </c>
      <c r="CB183" s="109">
        <f>IF(BY183=0,0,CA183/BY183)</f>
        <v>0</v>
      </c>
      <c r="CC183" s="14"/>
      <c r="CD183" s="14"/>
      <c r="CE183" s="14"/>
      <c r="CF183" s="14"/>
      <c r="CG183" s="14"/>
      <c r="CH183" s="172"/>
      <c r="CI183" s="52">
        <f t="shared" si="353"/>
        <v>0</v>
      </c>
      <c r="CJ183" s="109">
        <f>IF(CG183=0,0,CI183/CG183)</f>
        <v>0</v>
      </c>
      <c r="CK183" s="14"/>
      <c r="CL183" s="14"/>
      <c r="CM183" s="14"/>
      <c r="CN183" s="14"/>
      <c r="CO183" s="14"/>
      <c r="CP183" s="14"/>
      <c r="CQ183" s="52">
        <f t="shared" si="354"/>
        <v>0</v>
      </c>
      <c r="CR183" s="109">
        <f>IF(CO183=0,0,CQ183/CO183)</f>
        <v>0</v>
      </c>
      <c r="CS183" s="14"/>
      <c r="CT183" s="14"/>
      <c r="CU183" s="14"/>
      <c r="CV183" s="14"/>
      <c r="CW183" s="14"/>
      <c r="CX183" s="14"/>
      <c r="CY183" s="52">
        <f t="shared" si="355"/>
        <v>0</v>
      </c>
      <c r="CZ183" s="109">
        <f>IF(CW183=0,0,CY183/CW183)</f>
        <v>0</v>
      </c>
      <c r="DA183" s="52" t="e">
        <f>J183+IF(#REF!&gt;=2,S183,0)+IF(#REF!&gt;=3,AB183,0)+IF(#REF!&gt;=4,AK183,0)+IF(#REF!&gt;=5,AT183,0)+IF(#REF!&gt;=6,BB183,0)+IF(#REF!&gt;=7,BJ183,0)+IF(#REF!&gt;=8,BR183,0)+IF(#REF!&gt;=9,BZ183,0)+IF(#REF!&gt;=10,CH183,0)+IF(#REF!&gt;=11,CP183,0)+IF(#REF!&gt;=12,CX183,0)</f>
        <v>#REF!</v>
      </c>
      <c r="DB183" s="84">
        <f>I183+R183+AA183+AJ183+AS183+BA183+BI183+BQ183+BY183+CG183+CO183+CW183</f>
        <v>0</v>
      </c>
      <c r="DC183" s="106" t="e">
        <f>IF(#REF!&gt;=1,J183,I183)+IF(#REF!&gt;=2,S183,R183)+IF(#REF!&gt;=3,AB183,AA183)+IF(#REF!&gt;=4,AK183,AJ183)+IF(#REF!&gt;=5,AT183,AS183)+IF(#REF!&gt;=6,BB183,BA183)+IF(#REF!&gt;=7,BJ183,BI183)+IF(#REF!&gt;=8,BR183,BQ183)+IF(#REF!&gt;=9,BZ183,BY183)+IF(#REF!&gt;=10,CH183,CG183)+IF(#REF!&gt;=11,CP183,CO183)+IF(#REF!&gt;=12,CX183,CW183)</f>
        <v>#REF!</v>
      </c>
      <c r="DD183" s="52" t="e">
        <f t="shared" si="356"/>
        <v>#REF!</v>
      </c>
      <c r="DE183" s="113">
        <f>IF(DB183=0,0,DD183/DB183)</f>
        <v>0</v>
      </c>
    </row>
    <row r="184" spans="1:109" ht="16.5" hidden="1" thickBot="1">
      <c r="A184" s="100" t="s">
        <v>247</v>
      </c>
      <c r="B184" s="101" t="s">
        <v>248</v>
      </c>
      <c r="C184" s="102" t="s">
        <v>174</v>
      </c>
      <c r="D184" s="95"/>
      <c r="E184" s="95"/>
      <c r="F184" s="95"/>
      <c r="G184" s="95"/>
      <c r="H184" s="95"/>
      <c r="I184" s="95"/>
      <c r="J184" s="95"/>
      <c r="K184" s="104">
        <f t="shared" si="332"/>
        <v>0</v>
      </c>
      <c r="L184" s="112">
        <f t="shared" si="319"/>
        <v>0</v>
      </c>
      <c r="M184" s="17"/>
      <c r="N184" s="95"/>
      <c r="O184" s="95"/>
      <c r="P184" s="95"/>
      <c r="Q184" s="95"/>
      <c r="R184" s="95"/>
      <c r="S184" s="95"/>
      <c r="T184" s="104">
        <f t="shared" si="345"/>
        <v>0</v>
      </c>
      <c r="U184" s="112">
        <f>IF(R184=0,0,T184/R184)</f>
        <v>0</v>
      </c>
      <c r="V184" s="95"/>
      <c r="W184" s="95"/>
      <c r="X184" s="95"/>
      <c r="Y184" s="95"/>
      <c r="Z184" s="95"/>
      <c r="AA184" s="193"/>
      <c r="AB184" s="95"/>
      <c r="AC184" s="104">
        <f t="shared" si="346"/>
        <v>0</v>
      </c>
      <c r="AD184" s="112">
        <f>IF(AA184=0,0,AC184/AA184)</f>
        <v>0</v>
      </c>
      <c r="AE184" s="95"/>
      <c r="AF184" s="95"/>
      <c r="AG184" s="95"/>
      <c r="AH184" s="95"/>
      <c r="AI184" s="95"/>
      <c r="AJ184" s="95"/>
      <c r="AK184" s="95"/>
      <c r="AL184" s="104">
        <f t="shared" si="347"/>
        <v>0</v>
      </c>
      <c r="AM184" s="112">
        <f>IF(AJ184=0,0,AL184/AJ184)</f>
        <v>0</v>
      </c>
      <c r="AN184" s="95"/>
      <c r="AO184" s="95"/>
      <c r="AP184" s="95"/>
      <c r="AQ184" s="95"/>
      <c r="AR184" s="95"/>
      <c r="AS184" s="95"/>
      <c r="AT184" s="95"/>
      <c r="AU184" s="104">
        <f t="shared" si="348"/>
        <v>0</v>
      </c>
      <c r="AV184" s="112">
        <f>IF(AS184=0,0,AU184/AS184)</f>
        <v>0</v>
      </c>
      <c r="AW184" s="95"/>
      <c r="AX184" s="95"/>
      <c r="AY184" s="95"/>
      <c r="AZ184" s="95"/>
      <c r="BA184" s="95"/>
      <c r="BB184" s="95"/>
      <c r="BC184" s="104">
        <f t="shared" si="349"/>
        <v>0</v>
      </c>
      <c r="BD184" s="112">
        <f>IF(BA184=0,0,BC184/BA184)</f>
        <v>0</v>
      </c>
      <c r="BE184" s="95"/>
      <c r="BF184" s="95"/>
      <c r="BG184" s="95"/>
      <c r="BH184" s="95"/>
      <c r="BI184" s="95"/>
      <c r="BJ184" s="95"/>
      <c r="BK184" s="104">
        <f t="shared" si="350"/>
        <v>0</v>
      </c>
      <c r="BL184" s="112">
        <f>IF(BI184=0,0,BK184/BI184)</f>
        <v>0</v>
      </c>
      <c r="BM184" s="95"/>
      <c r="BN184" s="95"/>
      <c r="BO184" s="95"/>
      <c r="BP184" s="95"/>
      <c r="BQ184" s="95"/>
      <c r="BR184" s="95"/>
      <c r="BS184" s="104">
        <f t="shared" si="351"/>
        <v>0</v>
      </c>
      <c r="BT184" s="112">
        <f>IF(BQ184=0,0,BS184/BQ184)</f>
        <v>0</v>
      </c>
      <c r="BU184" s="95"/>
      <c r="BV184" s="95"/>
      <c r="BW184" s="95"/>
      <c r="BX184" s="95"/>
      <c r="BY184" s="193"/>
      <c r="BZ184" s="95"/>
      <c r="CA184" s="104">
        <f t="shared" si="352"/>
        <v>0</v>
      </c>
      <c r="CB184" s="112">
        <f>IF(BY184=0,0,CA184/BY184)</f>
        <v>0</v>
      </c>
      <c r="CC184" s="95"/>
      <c r="CD184" s="95"/>
      <c r="CE184" s="95"/>
      <c r="CF184" s="95"/>
      <c r="CG184" s="95"/>
      <c r="CH184" s="184"/>
      <c r="CI184" s="104">
        <f t="shared" si="353"/>
        <v>0</v>
      </c>
      <c r="CJ184" s="112">
        <f>IF(CG184=0,0,CI184/CG184)</f>
        <v>0</v>
      </c>
      <c r="CK184" s="95"/>
      <c r="CL184" s="95"/>
      <c r="CM184" s="95"/>
      <c r="CN184" s="95"/>
      <c r="CO184" s="95"/>
      <c r="CP184" s="95"/>
      <c r="CQ184" s="104">
        <f t="shared" si="354"/>
        <v>0</v>
      </c>
      <c r="CR184" s="112">
        <f>IF(CO184=0,0,CQ184/CO184)</f>
        <v>0</v>
      </c>
      <c r="CS184" s="95"/>
      <c r="CT184" s="95"/>
      <c r="CU184" s="95"/>
      <c r="CV184" s="95"/>
      <c r="CW184" s="95"/>
      <c r="CX184" s="95"/>
      <c r="CY184" s="104">
        <f t="shared" si="355"/>
        <v>0</v>
      </c>
      <c r="CZ184" s="112">
        <f>IF(CW184=0,0,CY184/CW184)</f>
        <v>0</v>
      </c>
      <c r="DA184" s="104" t="e">
        <f>J184+IF(#REF!&gt;=2,S184,0)+IF(#REF!&gt;=3,AB184,0)+IF(#REF!&gt;=4,AK184,0)+IF(#REF!&gt;=5,AT184,0)+IF(#REF!&gt;=6,BB184,0)+IF(#REF!&gt;=7,BJ184,0)+IF(#REF!&gt;=8,BR184,0)+IF(#REF!&gt;=9,BZ184,0)+IF(#REF!&gt;=10,CH184,0)+IF(#REF!&gt;=11,CP184,0)+IF(#REF!&gt;=12,CX184,0)</f>
        <v>#REF!</v>
      </c>
      <c r="DB184" s="107">
        <f>I184+R184+AA184+AJ184+AS184+BA184+BI184+BQ184+BY184+CG184+CO184+CW184</f>
        <v>0</v>
      </c>
      <c r="DC184" s="108" t="e">
        <f>IF(#REF!&gt;=1,J184,I184)+IF(#REF!&gt;=2,S184,R184)+IF(#REF!&gt;=3,AB184,AA184)+IF(#REF!&gt;=4,AK184,AJ184)+IF(#REF!&gt;=5,AT184,AS184)+IF(#REF!&gt;=6,BB184,BA184)+IF(#REF!&gt;=7,BJ184,BI184)+IF(#REF!&gt;=8,BR184,BQ184)+IF(#REF!&gt;=9,BZ184,BY184)+IF(#REF!&gt;=10,CH184,CG184)+IF(#REF!&gt;=11,CP184,CO184)+IF(#REF!&gt;=12,CX184,CW184)</f>
        <v>#REF!</v>
      </c>
      <c r="DD184" s="104" t="e">
        <f t="shared" si="356"/>
        <v>#REF!</v>
      </c>
      <c r="DE184" s="116">
        <f>IF(DB184=0,0,DD184/DB184)</f>
        <v>0</v>
      </c>
    </row>
  </sheetData>
  <sheetProtection/>
  <mergeCells count="70">
    <mergeCell ref="B114:B115"/>
    <mergeCell ref="B117:B118"/>
    <mergeCell ref="B128:B129"/>
    <mergeCell ref="B130:B131"/>
    <mergeCell ref="B147:B148"/>
    <mergeCell ref="B153:B154"/>
    <mergeCell ref="B121:B122"/>
    <mergeCell ref="B181:B182"/>
    <mergeCell ref="B168:B169"/>
    <mergeCell ref="B170:B171"/>
    <mergeCell ref="B179:B180"/>
    <mergeCell ref="B157:B158"/>
    <mergeCell ref="B161:B162"/>
    <mergeCell ref="B98:B99"/>
    <mergeCell ref="B101:B102"/>
    <mergeCell ref="B105:B106"/>
    <mergeCell ref="B77:B78"/>
    <mergeCell ref="B79:B80"/>
    <mergeCell ref="B85:B86"/>
    <mergeCell ref="B89:B90"/>
    <mergeCell ref="B112:B113"/>
    <mergeCell ref="CQ6:CR6"/>
    <mergeCell ref="BK6:BL6"/>
    <mergeCell ref="BC6:BD6"/>
    <mergeCell ref="B46:B47"/>
    <mergeCell ref="AU6:AV6"/>
    <mergeCell ref="T6:U6"/>
    <mergeCell ref="AC6:AD6"/>
    <mergeCell ref="AL6:AM6"/>
    <mergeCell ref="B96:B97"/>
    <mergeCell ref="DD6:DE6"/>
    <mergeCell ref="CY6:CZ6"/>
    <mergeCell ref="B50:B51"/>
    <mergeCell ref="BS6:BT6"/>
    <mergeCell ref="CA6:CB6"/>
    <mergeCell ref="CI6:CJ6"/>
    <mergeCell ref="B15:B16"/>
    <mergeCell ref="B19:B20"/>
    <mergeCell ref="B35:B36"/>
    <mergeCell ref="BU4:CB4"/>
    <mergeCell ref="BM4:BT4"/>
    <mergeCell ref="AW4:BD4"/>
    <mergeCell ref="BE4:BL4"/>
    <mergeCell ref="BA5:BD5"/>
    <mergeCell ref="BI5:BL5"/>
    <mergeCell ref="BQ5:BT5"/>
    <mergeCell ref="BY5:CB5"/>
    <mergeCell ref="CG5:CJ5"/>
    <mergeCell ref="CC4:CJ4"/>
    <mergeCell ref="CK4:CR4"/>
    <mergeCell ref="CS4:CZ4"/>
    <mergeCell ref="CO5:CR5"/>
    <mergeCell ref="DB4:DE4"/>
    <mergeCell ref="CW5:CZ5"/>
    <mergeCell ref="DB5:DE5"/>
    <mergeCell ref="DA4:DA5"/>
    <mergeCell ref="M4:U4"/>
    <mergeCell ref="I5:L5"/>
    <mergeCell ref="R5:U5"/>
    <mergeCell ref="K6:L6"/>
    <mergeCell ref="A4:A6"/>
    <mergeCell ref="B4:B6"/>
    <mergeCell ref="C4:C6"/>
    <mergeCell ref="D4:L4"/>
    <mergeCell ref="V4:AD4"/>
    <mergeCell ref="AE4:AM4"/>
    <mergeCell ref="AN4:AV4"/>
    <mergeCell ref="AS5:AV5"/>
    <mergeCell ref="AA5:AD5"/>
    <mergeCell ref="AJ5:AM5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"РКС"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Манушкин Александр Анатольевич</dc:creator>
  <cp:keywords/>
  <dc:description/>
  <cp:lastModifiedBy>Звегинцева Елена Анатольевна</cp:lastModifiedBy>
  <cp:lastPrinted>2022-01-13T04:26:26Z</cp:lastPrinted>
  <dcterms:created xsi:type="dcterms:W3CDTF">2012-08-30T10:25:26Z</dcterms:created>
  <dcterms:modified xsi:type="dcterms:W3CDTF">2023-02-28T10:10:27Z</dcterms:modified>
  <cp:category/>
  <cp:version/>
  <cp:contentType/>
  <cp:contentStatus/>
</cp:coreProperties>
</file>